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79F1E85D-3732-46C5-B74C-6E7AE451C79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roject Cost" sheetId="1" r:id="rId1"/>
    <sheet name="Project Details" sheetId="4" r:id="rId2"/>
    <sheet name="Assumptions" sheetId="10" r:id="rId3"/>
    <sheet name="Dep" sheetId="3" r:id="rId4"/>
    <sheet name="Bank Interest" sheetId="2" r:id="rId5"/>
    <sheet name="Furniture and Fixtures" sheetId="12" r:id="rId6"/>
    <sheet name="Plant &amp; Machinery" sheetId="6" r:id="rId7"/>
    <sheet name="WC GAP" sheetId="11" r:id="rId8"/>
    <sheet name="BS Proj.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1" l="1"/>
  <c r="B5" i="11"/>
  <c r="B2" i="11"/>
  <c r="C5" i="3"/>
  <c r="C7" i="3"/>
  <c r="C13" i="3" s="1"/>
  <c r="C11" i="3"/>
  <c r="C6" i="3"/>
  <c r="C15" i="1"/>
  <c r="D15" i="1" s="1"/>
  <c r="D16" i="1" s="1"/>
  <c r="D12" i="9"/>
  <c r="E12" i="9"/>
  <c r="H12" i="9"/>
  <c r="C18" i="9"/>
  <c r="D18" i="9"/>
  <c r="E18" i="9"/>
  <c r="F18" i="9"/>
  <c r="G18" i="9"/>
  <c r="H18" i="9"/>
  <c r="B18" i="9"/>
  <c r="B12" i="9"/>
  <c r="C12" i="9"/>
  <c r="F12" i="9"/>
  <c r="G12" i="9"/>
  <c r="C22" i="4"/>
  <c r="D19" i="4"/>
  <c r="C19" i="4"/>
  <c r="D18" i="4"/>
  <c r="F17" i="4"/>
  <c r="E17" i="4"/>
  <c r="D17" i="4"/>
  <c r="D9" i="4"/>
  <c r="D10" i="4"/>
  <c r="D8" i="4"/>
  <c r="C66" i="10"/>
  <c r="G66" i="10" s="1"/>
  <c r="B66" i="10"/>
  <c r="F66" i="10" s="1"/>
  <c r="C65" i="10"/>
  <c r="G65" i="10" s="1"/>
  <c r="B65" i="10"/>
  <c r="C64" i="10"/>
  <c r="G64" i="10" s="1"/>
  <c r="B64" i="10"/>
  <c r="B61" i="10"/>
  <c r="B63" i="10"/>
  <c r="C62" i="10"/>
  <c r="B62" i="10"/>
  <c r="C61" i="10"/>
  <c r="B59" i="10"/>
  <c r="F59" i="10"/>
  <c r="C59" i="10"/>
  <c r="B58" i="10"/>
  <c r="B57" i="10"/>
  <c r="B56" i="10"/>
  <c r="C55" i="10"/>
  <c r="C54" i="10"/>
  <c r="B49" i="10"/>
  <c r="F52" i="10" s="1"/>
  <c r="H52" i="10" s="1"/>
  <c r="B44" i="10"/>
  <c r="F48" i="10" s="1"/>
  <c r="H48" i="10" s="1"/>
  <c r="B39" i="10"/>
  <c r="B34" i="10"/>
  <c r="B33" i="10"/>
  <c r="B32" i="10"/>
  <c r="C29" i="10"/>
  <c r="C10" i="4"/>
  <c r="C18" i="4" s="1"/>
  <c r="F53" i="10"/>
  <c r="H53" i="10" s="1"/>
  <c r="E75" i="6"/>
  <c r="B9" i="9"/>
  <c r="B22" i="9"/>
  <c r="B16" i="1"/>
  <c r="B3" i="11"/>
  <c r="C12" i="3"/>
  <c r="C9" i="9"/>
  <c r="B10" i="9"/>
  <c r="I53" i="4"/>
  <c r="H53" i="4"/>
  <c r="G53" i="4"/>
  <c r="F53" i="4"/>
  <c r="E53" i="4"/>
  <c r="D53" i="4"/>
  <c r="C53" i="4"/>
  <c r="I40" i="4"/>
  <c r="H40" i="4"/>
  <c r="G40" i="4"/>
  <c r="F40" i="4"/>
  <c r="E40" i="4"/>
  <c r="D40" i="4"/>
  <c r="C40" i="4"/>
  <c r="I39" i="4"/>
  <c r="H39" i="4"/>
  <c r="G39" i="4"/>
  <c r="F39" i="4"/>
  <c r="E39" i="4"/>
  <c r="D39" i="4"/>
  <c r="C39" i="4"/>
  <c r="G18" i="4"/>
  <c r="F18" i="4"/>
  <c r="B79" i="10"/>
  <c r="I10" i="4"/>
  <c r="I18" i="4" s="1"/>
  <c r="H10" i="4"/>
  <c r="H18" i="4" s="1"/>
  <c r="G10" i="4"/>
  <c r="F10" i="4"/>
  <c r="E10" i="4"/>
  <c r="E18" i="4" s="1"/>
  <c r="B83" i="10"/>
  <c r="B81" i="10"/>
  <c r="H29" i="10"/>
  <c r="H30" i="10"/>
  <c r="H31" i="10"/>
  <c r="H56" i="10"/>
  <c r="H57" i="10"/>
  <c r="H58" i="10"/>
  <c r="H60" i="10"/>
  <c r="H28" i="10"/>
  <c r="G63" i="10"/>
  <c r="G62" i="10"/>
  <c r="H62" i="10" s="1"/>
  <c r="F62" i="10"/>
  <c r="G60" i="10"/>
  <c r="F33" i="10"/>
  <c r="H33" i="10" s="1"/>
  <c r="F28" i="10"/>
  <c r="C63" i="10"/>
  <c r="F58" i="10"/>
  <c r="F56" i="10"/>
  <c r="F57" i="10"/>
  <c r="G55" i="10"/>
  <c r="H55" i="10" s="1"/>
  <c r="G31" i="10"/>
  <c r="G30" i="10"/>
  <c r="G29" i="10"/>
  <c r="F41" i="10"/>
  <c r="H41" i="10" s="1"/>
  <c r="F40" i="10"/>
  <c r="H40" i="10" s="1"/>
  <c r="F35" i="10"/>
  <c r="H35" i="10" s="1"/>
  <c r="F32" i="10"/>
  <c r="H32" i="10" s="1"/>
  <c r="C31" i="10"/>
  <c r="C30" i="10"/>
  <c r="B28" i="10"/>
  <c r="B21" i="10"/>
  <c r="B23" i="10" s="1"/>
  <c r="D7" i="10"/>
  <c r="D8" i="10"/>
  <c r="D9" i="10"/>
  <c r="D10" i="10"/>
  <c r="D11" i="10"/>
  <c r="D12" i="10"/>
  <c r="D6" i="10"/>
  <c r="B14" i="10"/>
  <c r="I55" i="4"/>
  <c r="G10" i="9"/>
  <c r="C14" i="1"/>
  <c r="E114" i="2"/>
  <c r="E115" i="2"/>
  <c r="M103" i="2"/>
  <c r="L103" i="2"/>
  <c r="K103" i="2"/>
  <c r="E92" i="2"/>
  <c r="J103" i="2"/>
  <c r="M91" i="2"/>
  <c r="L91" i="2"/>
  <c r="K91" i="2"/>
  <c r="J91" i="2"/>
  <c r="M79" i="2"/>
  <c r="L79" i="2"/>
  <c r="K79" i="2"/>
  <c r="J79" i="2"/>
  <c r="M67" i="2"/>
  <c r="L67" i="2"/>
  <c r="K67" i="2"/>
  <c r="J67" i="2"/>
  <c r="M55" i="2"/>
  <c r="L55" i="2"/>
  <c r="K55" i="2"/>
  <c r="J55" i="2"/>
  <c r="M43" i="2"/>
  <c r="L43" i="2"/>
  <c r="K43" i="2"/>
  <c r="J43" i="2"/>
  <c r="M31" i="2"/>
  <c r="L31" i="2"/>
  <c r="K31" i="2"/>
  <c r="J31" i="2"/>
  <c r="M19" i="2"/>
  <c r="L19" i="2"/>
  <c r="K19" i="2"/>
  <c r="J19" i="2"/>
  <c r="F105" i="2"/>
  <c r="E102" i="2"/>
  <c r="F102" i="2"/>
  <c r="E18" i="2"/>
  <c r="F18" i="2" s="1"/>
  <c r="I18" i="2" s="1"/>
  <c r="H18" i="2"/>
  <c r="C19" i="2" s="1"/>
  <c r="H19" i="2" s="1"/>
  <c r="E19" i="2" s="1"/>
  <c r="F19" i="2" s="1"/>
  <c r="I19" i="2" s="1"/>
  <c r="A19" i="2"/>
  <c r="D8" i="1"/>
  <c r="D9" i="1"/>
  <c r="G105" i="2"/>
  <c r="F10" i="9"/>
  <c r="E10" i="9"/>
  <c r="D10" i="9"/>
  <c r="C10" i="9"/>
  <c r="B26" i="1"/>
  <c r="C26" i="4" l="1"/>
  <c r="C17" i="3"/>
  <c r="C16" i="1"/>
  <c r="H66" i="10"/>
  <c r="G59" i="10"/>
  <c r="H59" i="10" s="1"/>
  <c r="G54" i="10"/>
  <c r="H54" i="10" s="1"/>
  <c r="G61" i="10"/>
  <c r="F50" i="10"/>
  <c r="H50" i="10" s="1"/>
  <c r="F51" i="10"/>
  <c r="H51" i="10" s="1"/>
  <c r="F45" i="10"/>
  <c r="H45" i="10" s="1"/>
  <c r="F46" i="10"/>
  <c r="H46" i="10" s="1"/>
  <c r="F47" i="10"/>
  <c r="H47" i="10" s="1"/>
  <c r="F64" i="10"/>
  <c r="H64" i="10" s="1"/>
  <c r="F43" i="10"/>
  <c r="H43" i="10" s="1"/>
  <c r="F63" i="10"/>
  <c r="H63" i="10" s="1"/>
  <c r="F36" i="10"/>
  <c r="H36" i="10" s="1"/>
  <c r="F65" i="10"/>
  <c r="H65" i="10" s="1"/>
  <c r="F37" i="10"/>
  <c r="H37" i="10" s="1"/>
  <c r="F38" i="10"/>
  <c r="H38" i="10" s="1"/>
  <c r="F61" i="10"/>
  <c r="F42" i="10"/>
  <c r="H42" i="10" s="1"/>
  <c r="D13" i="10"/>
  <c r="D14" i="10" s="1"/>
  <c r="E8" i="4" s="1"/>
  <c r="E19" i="4" s="1"/>
  <c r="L105" i="2"/>
  <c r="D9" i="9"/>
  <c r="E9" i="9" s="1"/>
  <c r="F9" i="9" s="1"/>
  <c r="G9" i="9" s="1"/>
  <c r="H9" i="9" s="1"/>
  <c r="J53" i="4"/>
  <c r="C4" i="9"/>
  <c r="D4" i="9"/>
  <c r="E4" i="9"/>
  <c r="F4" i="9"/>
  <c r="G4" i="9"/>
  <c r="H4" i="9"/>
  <c r="B4" i="9"/>
  <c r="H44" i="4"/>
  <c r="D3" i="3"/>
  <c r="E3" i="3"/>
  <c r="F3" i="3"/>
  <c r="G3" i="3"/>
  <c r="H3" i="3"/>
  <c r="I3" i="3"/>
  <c r="C3" i="3"/>
  <c r="I8" i="4" l="1"/>
  <c r="I19" i="4" s="1"/>
  <c r="C8" i="4"/>
  <c r="H8" i="4"/>
  <c r="H19" i="4" s="1"/>
  <c r="G8" i="4"/>
  <c r="G19" i="4" s="1"/>
  <c r="F8" i="4"/>
  <c r="F19" i="4" s="1"/>
  <c r="H61" i="10"/>
  <c r="H68" i="10"/>
  <c r="H69" i="10" s="1"/>
  <c r="H70" i="10" s="1"/>
  <c r="H71" i="10" s="1"/>
  <c r="C26" i="1"/>
  <c r="D25" i="1"/>
  <c r="B11" i="9" s="1"/>
  <c r="D13" i="1"/>
  <c r="C9" i="4" l="1"/>
  <c r="C17" i="4" s="1"/>
  <c r="F9" i="4"/>
  <c r="F13" i="4" s="1"/>
  <c r="F20" i="4" s="1"/>
  <c r="I9" i="4"/>
  <c r="I17" i="4" s="1"/>
  <c r="H9" i="4"/>
  <c r="H13" i="4" s="1"/>
  <c r="H20" i="4" s="1"/>
  <c r="G9" i="4"/>
  <c r="G13" i="4" s="1"/>
  <c r="G20" i="4" s="1"/>
  <c r="E9" i="4"/>
  <c r="D13" i="4"/>
  <c r="D20" i="4" s="1"/>
  <c r="C13" i="4"/>
  <c r="C20" i="4" s="1"/>
  <c r="D22" i="9"/>
  <c r="C22" i="9"/>
  <c r="C11" i="9"/>
  <c r="E13" i="4" l="1"/>
  <c r="E20" i="4" s="1"/>
  <c r="I13" i="4"/>
  <c r="I23" i="4" s="1"/>
  <c r="G17" i="4"/>
  <c r="H17" i="4"/>
  <c r="C21" i="4"/>
  <c r="C23" i="4"/>
  <c r="E22" i="9"/>
  <c r="F22" i="9"/>
  <c r="D11" i="9"/>
  <c r="D23" i="1"/>
  <c r="D24" i="1"/>
  <c r="I22" i="4" l="1"/>
  <c r="I20" i="4"/>
  <c r="I21" i="4"/>
  <c r="G22" i="9"/>
  <c r="H22" i="9"/>
  <c r="G22" i="4"/>
  <c r="D22" i="4"/>
  <c r="H22" i="4"/>
  <c r="F22" i="4"/>
  <c r="E22" i="4"/>
  <c r="H23" i="4"/>
  <c r="H21" i="4"/>
  <c r="E21" i="4"/>
  <c r="E23" i="4"/>
  <c r="G23" i="4"/>
  <c r="G21" i="4"/>
  <c r="F21" i="4"/>
  <c r="F23" i="4"/>
  <c r="D23" i="4"/>
  <c r="D21" i="4"/>
  <c r="B7" i="9"/>
  <c r="C7" i="9" s="1"/>
  <c r="E4" i="2"/>
  <c r="E11" i="9"/>
  <c r="D26" i="1"/>
  <c r="D7" i="9" l="1"/>
  <c r="F11" i="9"/>
  <c r="E7" i="9" l="1"/>
  <c r="G11" i="9"/>
  <c r="F7" i="9" l="1"/>
  <c r="H11" i="9"/>
  <c r="D11" i="1"/>
  <c r="D10" i="1"/>
  <c r="C12" i="1" s="1"/>
  <c r="G7" i="9" l="1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H7" i="9" l="1"/>
  <c r="D12" i="1" l="1"/>
  <c r="E6" i="3"/>
  <c r="D6" i="3"/>
  <c r="C20" i="2"/>
  <c r="H20" i="2" s="1"/>
  <c r="E8" i="2"/>
  <c r="E20" i="2" l="1"/>
  <c r="F20" i="2" s="1"/>
  <c r="I20" i="2" s="1"/>
  <c r="C21" i="2"/>
  <c r="H21" i="2" s="1"/>
  <c r="E21" i="2" s="1"/>
  <c r="E7" i="3"/>
  <c r="D7" i="3"/>
  <c r="C19" i="3"/>
  <c r="D13" i="3" s="1"/>
  <c r="D19" i="3" s="1"/>
  <c r="E13" i="3" s="1"/>
  <c r="E19" i="3" s="1"/>
  <c r="F13" i="3" s="1"/>
  <c r="F19" i="3" s="1"/>
  <c r="G13" i="3" s="1"/>
  <c r="G19" i="3" s="1"/>
  <c r="H13" i="3" s="1"/>
  <c r="H19" i="3" s="1"/>
  <c r="I13" i="3" s="1"/>
  <c r="I19" i="3" s="1"/>
  <c r="G6" i="3"/>
  <c r="F6" i="3"/>
  <c r="H6" i="3" l="1"/>
  <c r="I6" i="3"/>
  <c r="G7" i="3"/>
  <c r="F7" i="3"/>
  <c r="F21" i="2"/>
  <c r="C22" i="2"/>
  <c r="H22" i="2" s="1"/>
  <c r="H7" i="3" l="1"/>
  <c r="I7" i="3"/>
  <c r="C23" i="2"/>
  <c r="H23" i="2" s="1"/>
  <c r="I21" i="2"/>
  <c r="E22" i="2"/>
  <c r="E23" i="2" l="1"/>
  <c r="F23" i="2" s="1"/>
  <c r="I23" i="2" s="1"/>
  <c r="C24" i="2"/>
  <c r="H24" i="2" s="1"/>
  <c r="C25" i="2" s="1"/>
  <c r="H25" i="2" s="1"/>
  <c r="F22" i="2"/>
  <c r="E24" i="2" l="1"/>
  <c r="F24" i="2" s="1"/>
  <c r="I22" i="2"/>
  <c r="C18" i="3"/>
  <c r="C24" i="4" s="1"/>
  <c r="C26" i="2"/>
  <c r="H26" i="2" s="1"/>
  <c r="E25" i="2"/>
  <c r="F25" i="2" s="1"/>
  <c r="D12" i="3" l="1"/>
  <c r="I25" i="2"/>
  <c r="I24" i="2"/>
  <c r="C27" i="2"/>
  <c r="H27" i="2" s="1"/>
  <c r="E26" i="2"/>
  <c r="F26" i="2" s="1"/>
  <c r="D18" i="3" l="1"/>
  <c r="D24" i="4" s="1"/>
  <c r="I26" i="2"/>
  <c r="C28" i="2"/>
  <c r="H28" i="2" s="1"/>
  <c r="E27" i="2"/>
  <c r="F27" i="2" s="1"/>
  <c r="E12" i="3" l="1"/>
  <c r="I27" i="2"/>
  <c r="C29" i="2"/>
  <c r="H29" i="2" s="1"/>
  <c r="E28" i="2"/>
  <c r="F28" i="2" s="1"/>
  <c r="E18" i="3" l="1"/>
  <c r="I28" i="2"/>
  <c r="E29" i="2"/>
  <c r="C30" i="2"/>
  <c r="H30" i="2" s="1"/>
  <c r="F12" i="3" l="1"/>
  <c r="F18" i="3" s="1"/>
  <c r="E24" i="4"/>
  <c r="F29" i="2"/>
  <c r="I29" i="2" s="1"/>
  <c r="E30" i="2"/>
  <c r="C31" i="2"/>
  <c r="H31" i="2" s="1"/>
  <c r="G12" i="3" l="1"/>
  <c r="G18" i="3" s="1"/>
  <c r="F24" i="4"/>
  <c r="F30" i="2"/>
  <c r="I30" i="2" s="1"/>
  <c r="E31" i="2"/>
  <c r="F31" i="2" s="1"/>
  <c r="C32" i="2"/>
  <c r="H32" i="2" s="1"/>
  <c r="H12" i="3" l="1"/>
  <c r="G24" i="4"/>
  <c r="H18" i="3"/>
  <c r="H24" i="4" s="1"/>
  <c r="E32" i="2"/>
  <c r="C33" i="2"/>
  <c r="H33" i="2" s="1"/>
  <c r="I31" i="2"/>
  <c r="F32" i="2" l="1"/>
  <c r="I32" i="2" s="1"/>
  <c r="I12" i="3"/>
  <c r="E33" i="2"/>
  <c r="C34" i="2"/>
  <c r="H34" i="2" s="1"/>
  <c r="F33" i="2" l="1"/>
  <c r="I18" i="3"/>
  <c r="I24" i="4" s="1"/>
  <c r="E34" i="2"/>
  <c r="C35" i="2"/>
  <c r="H35" i="2" s="1"/>
  <c r="I33" i="2"/>
  <c r="F34" i="2" l="1"/>
  <c r="I34" i="2" s="1"/>
  <c r="E35" i="2"/>
  <c r="C36" i="2"/>
  <c r="F35" i="2" l="1"/>
  <c r="I35" i="2" s="1"/>
  <c r="E36" i="2"/>
  <c r="H36" i="2"/>
  <c r="D14" i="1" l="1"/>
  <c r="F36" i="2"/>
  <c r="I36" i="2" s="1"/>
  <c r="C37" i="2"/>
  <c r="E37" i="2" s="1"/>
  <c r="F37" i="2" s="1"/>
  <c r="E3" i="2" l="1"/>
  <c r="H37" i="2"/>
  <c r="C38" i="2" s="1"/>
  <c r="H38" i="2" s="1"/>
  <c r="C39" i="2" s="1"/>
  <c r="I37" i="2"/>
  <c r="E38" i="2" l="1"/>
  <c r="F38" i="2" s="1"/>
  <c r="I38" i="2" s="1"/>
  <c r="E5" i="3"/>
  <c r="E26" i="4" s="1"/>
  <c r="D5" i="3"/>
  <c r="D26" i="4" s="1"/>
  <c r="C8" i="3"/>
  <c r="E39" i="2"/>
  <c r="F39" i="2" s="1"/>
  <c r="H39" i="2"/>
  <c r="D11" i="3" l="1"/>
  <c r="C14" i="3"/>
  <c r="C42" i="4" s="1"/>
  <c r="G5" i="3"/>
  <c r="G26" i="4" s="1"/>
  <c r="E8" i="3"/>
  <c r="F5" i="3"/>
  <c r="F26" i="4" s="1"/>
  <c r="D8" i="3"/>
  <c r="C40" i="2"/>
  <c r="E40" i="2" s="1"/>
  <c r="F40" i="2" s="1"/>
  <c r="I39" i="2"/>
  <c r="G8" i="3" l="1"/>
  <c r="I5" i="3"/>
  <c r="I26" i="4" s="1"/>
  <c r="H5" i="3"/>
  <c r="H26" i="4" s="1"/>
  <c r="F8" i="3"/>
  <c r="D14" i="3"/>
  <c r="D42" i="4" s="1"/>
  <c r="C20" i="3"/>
  <c r="H40" i="2"/>
  <c r="C41" i="2" s="1"/>
  <c r="E41" i="2" s="1"/>
  <c r="F41" i="2" s="1"/>
  <c r="I41" i="2" s="1"/>
  <c r="I40" i="2"/>
  <c r="C27" i="4" l="1"/>
  <c r="C25" i="4"/>
  <c r="H8" i="3"/>
  <c r="I8" i="3"/>
  <c r="B17" i="9"/>
  <c r="B24" i="9" s="1"/>
  <c r="D17" i="3"/>
  <c r="H41" i="2"/>
  <c r="C42" i="2" s="1"/>
  <c r="E42" i="2" s="1"/>
  <c r="F42" i="2" s="1"/>
  <c r="C29" i="4" l="1"/>
  <c r="E11" i="3"/>
  <c r="E14" i="3" s="1"/>
  <c r="E42" i="4" s="1"/>
  <c r="D20" i="3"/>
  <c r="D25" i="4" s="1"/>
  <c r="H42" i="2"/>
  <c r="C43" i="2" s="1"/>
  <c r="E43" i="2" s="1"/>
  <c r="F43" i="2" s="1"/>
  <c r="I42" i="2"/>
  <c r="D27" i="4" l="1"/>
  <c r="D29" i="4" s="1"/>
  <c r="D31" i="4" s="1"/>
  <c r="E17" i="3"/>
  <c r="F11" i="3" s="1"/>
  <c r="F14" i="3" s="1"/>
  <c r="F42" i="4" s="1"/>
  <c r="C17" i="9"/>
  <c r="C24" i="9" s="1"/>
  <c r="H43" i="2"/>
  <c r="C44" i="2" s="1"/>
  <c r="E44" i="2" s="1"/>
  <c r="F44" i="2" s="1"/>
  <c r="I43" i="2"/>
  <c r="E20" i="3" l="1"/>
  <c r="E25" i="4" s="1"/>
  <c r="F17" i="3"/>
  <c r="G11" i="3" s="1"/>
  <c r="G14" i="3" s="1"/>
  <c r="G42" i="4" s="1"/>
  <c r="H44" i="2"/>
  <c r="C45" i="2" s="1"/>
  <c r="H45" i="2" s="1"/>
  <c r="C46" i="2" s="1"/>
  <c r="I44" i="2"/>
  <c r="E27" i="4" l="1"/>
  <c r="E29" i="4" s="1"/>
  <c r="D17" i="9"/>
  <c r="D24" i="9" s="1"/>
  <c r="F20" i="3"/>
  <c r="F25" i="4" s="1"/>
  <c r="G17" i="3"/>
  <c r="H11" i="3" s="1"/>
  <c r="D33" i="4"/>
  <c r="E45" i="2"/>
  <c r="H46" i="2"/>
  <c r="C47" i="2" s="1"/>
  <c r="E46" i="2"/>
  <c r="F27" i="4" l="1"/>
  <c r="F29" i="4" s="1"/>
  <c r="E17" i="9"/>
  <c r="E24" i="9" s="1"/>
  <c r="G20" i="3"/>
  <c r="F17" i="9" s="1"/>
  <c r="F24" i="9" s="1"/>
  <c r="F45" i="2"/>
  <c r="I45" i="2" s="1"/>
  <c r="F46" i="2"/>
  <c r="I46" i="2" s="1"/>
  <c r="H14" i="3"/>
  <c r="H42" i="4" s="1"/>
  <c r="H17" i="3"/>
  <c r="H20" i="3" s="1"/>
  <c r="E31" i="4"/>
  <c r="E33" i="4"/>
  <c r="D37" i="4"/>
  <c r="D35" i="4"/>
  <c r="H47" i="2"/>
  <c r="C48" i="2" s="1"/>
  <c r="E47" i="2"/>
  <c r="G27" i="4" l="1"/>
  <c r="I11" i="3"/>
  <c r="I14" i="3" s="1"/>
  <c r="I42" i="4" s="1"/>
  <c r="G25" i="4"/>
  <c r="G29" i="4" s="1"/>
  <c r="E35" i="4"/>
  <c r="E37" i="4"/>
  <c r="F47" i="2"/>
  <c r="I47" i="2" s="1"/>
  <c r="F31" i="4"/>
  <c r="F33" i="4"/>
  <c r="G17" i="9"/>
  <c r="G24" i="9" s="1"/>
  <c r="H25" i="4"/>
  <c r="H27" i="4"/>
  <c r="H48" i="2"/>
  <c r="E48" i="2"/>
  <c r="H29" i="4" l="1"/>
  <c r="H33" i="4" s="1"/>
  <c r="H35" i="4" s="1"/>
  <c r="I17" i="3"/>
  <c r="G33" i="4"/>
  <c r="G35" i="4" s="1"/>
  <c r="F48" i="2"/>
  <c r="I48" i="2" s="1"/>
  <c r="F37" i="4"/>
  <c r="F35" i="4"/>
  <c r="C49" i="2"/>
  <c r="E49" i="2" s="1"/>
  <c r="F49" i="2" s="1"/>
  <c r="I20" i="3" l="1"/>
  <c r="H17" i="9" s="1"/>
  <c r="H24" i="9" s="1"/>
  <c r="G37" i="4"/>
  <c r="G31" i="4"/>
  <c r="H31" i="4"/>
  <c r="C55" i="4"/>
  <c r="H37" i="4"/>
  <c r="H49" i="2"/>
  <c r="C50" i="2" s="1"/>
  <c r="H50" i="2" s="1"/>
  <c r="C51" i="2" s="1"/>
  <c r="I49" i="2"/>
  <c r="I27" i="4" l="1"/>
  <c r="I25" i="4"/>
  <c r="E50" i="2"/>
  <c r="H51" i="2"/>
  <c r="E51" i="2"/>
  <c r="F51" i="2" s="1"/>
  <c r="I29" i="4" l="1"/>
  <c r="I31" i="4" s="1"/>
  <c r="I33" i="4"/>
  <c r="F50" i="2"/>
  <c r="I50" i="2" s="1"/>
  <c r="C52" i="2"/>
  <c r="E52" i="2" s="1"/>
  <c r="F52" i="2" s="1"/>
  <c r="I51" i="2"/>
  <c r="I35" i="4" l="1"/>
  <c r="I37" i="4"/>
  <c r="I41" i="4" s="1"/>
  <c r="I43" i="4" s="1"/>
  <c r="I45" i="4" s="1"/>
  <c r="I46" i="4" s="1"/>
  <c r="I47" i="4" s="1"/>
  <c r="I49" i="4" s="1"/>
  <c r="I51" i="4" s="1"/>
  <c r="H52" i="2"/>
  <c r="C53" i="2" s="1"/>
  <c r="H53" i="2" s="1"/>
  <c r="C54" i="2" s="1"/>
  <c r="I52" i="2"/>
  <c r="I57" i="4" l="1"/>
  <c r="I59" i="4"/>
  <c r="E53" i="2"/>
  <c r="H54" i="2"/>
  <c r="C55" i="2" s="1"/>
  <c r="E54" i="2"/>
  <c r="F54" i="2" s="1"/>
  <c r="F53" i="2" l="1"/>
  <c r="I53" i="2" s="1"/>
  <c r="H55" i="2"/>
  <c r="C56" i="2" s="1"/>
  <c r="E55" i="2"/>
  <c r="F55" i="2" s="1"/>
  <c r="I54" i="2"/>
  <c r="H56" i="2" l="1"/>
  <c r="C57" i="2" s="1"/>
  <c r="E56" i="2"/>
  <c r="F56" i="2" s="1"/>
  <c r="I55" i="2"/>
  <c r="I56" i="2" l="1"/>
  <c r="H57" i="2"/>
  <c r="C58" i="2" s="1"/>
  <c r="E57" i="2"/>
  <c r="F57" i="2" l="1"/>
  <c r="I57" i="2" s="1"/>
  <c r="H58" i="2"/>
  <c r="C59" i="2" s="1"/>
  <c r="E58" i="2"/>
  <c r="F58" i="2" l="1"/>
  <c r="I58" i="2" s="1"/>
  <c r="H59" i="2"/>
  <c r="C60" i="2" s="1"/>
  <c r="E59" i="2"/>
  <c r="F59" i="2" l="1"/>
  <c r="I59" i="2" s="1"/>
  <c r="H60" i="2"/>
  <c r="E60" i="2"/>
  <c r="F60" i="2" l="1"/>
  <c r="I60" i="2" s="1"/>
  <c r="C61" i="2"/>
  <c r="H61" i="2" s="1"/>
  <c r="C62" i="2" s="1"/>
  <c r="D55" i="4" l="1"/>
  <c r="D41" i="4"/>
  <c r="D43" i="4" s="1"/>
  <c r="D45" i="4" s="1"/>
  <c r="E61" i="2"/>
  <c r="H62" i="2"/>
  <c r="C63" i="2" s="1"/>
  <c r="E62" i="2"/>
  <c r="F62" i="2" s="1"/>
  <c r="F61" i="2" l="1"/>
  <c r="I61" i="2" s="1"/>
  <c r="D46" i="4"/>
  <c r="C13" i="9" s="1"/>
  <c r="I62" i="2"/>
  <c r="H63" i="2"/>
  <c r="E63" i="2"/>
  <c r="F63" i="2" s="1"/>
  <c r="D47" i="4" l="1"/>
  <c r="D49" i="4" s="1"/>
  <c r="D51" i="4" s="1"/>
  <c r="C28" i="9"/>
  <c r="C64" i="2"/>
  <c r="E64" i="2" s="1"/>
  <c r="F64" i="2" s="1"/>
  <c r="I63" i="2"/>
  <c r="D57" i="4" l="1"/>
  <c r="D59" i="4"/>
  <c r="H64" i="2"/>
  <c r="C65" i="2" s="1"/>
  <c r="H65" i="2" s="1"/>
  <c r="C66" i="2" s="1"/>
  <c r="I64" i="2"/>
  <c r="E65" i="2" l="1"/>
  <c r="H66" i="2"/>
  <c r="C67" i="2" s="1"/>
  <c r="E66" i="2"/>
  <c r="F66" i="2" s="1"/>
  <c r="F65" i="2" l="1"/>
  <c r="I65" i="2" s="1"/>
  <c r="H67" i="2"/>
  <c r="C68" i="2" s="1"/>
  <c r="E67" i="2"/>
  <c r="F67" i="2" s="1"/>
  <c r="I66" i="2"/>
  <c r="H68" i="2" l="1"/>
  <c r="C69" i="2" s="1"/>
  <c r="E68" i="2"/>
  <c r="F68" i="2" s="1"/>
  <c r="I67" i="2"/>
  <c r="I68" i="2" l="1"/>
  <c r="H69" i="2"/>
  <c r="C70" i="2" s="1"/>
  <c r="E69" i="2"/>
  <c r="F69" i="2" l="1"/>
  <c r="H70" i="2"/>
  <c r="C71" i="2" s="1"/>
  <c r="E70" i="2"/>
  <c r="I69" i="2"/>
  <c r="F70" i="2" l="1"/>
  <c r="I70" i="2" s="1"/>
  <c r="H71" i="2"/>
  <c r="C72" i="2" s="1"/>
  <c r="E71" i="2"/>
  <c r="F71" i="2" l="1"/>
  <c r="I71" i="2" s="1"/>
  <c r="H72" i="2"/>
  <c r="E72" i="2"/>
  <c r="F72" i="2" l="1"/>
  <c r="I72" i="2" s="1"/>
  <c r="C73" i="2"/>
  <c r="H73" i="2" s="1"/>
  <c r="C74" i="2" s="1"/>
  <c r="E55" i="4" l="1"/>
  <c r="E41" i="4"/>
  <c r="E43" i="4" s="1"/>
  <c r="E45" i="4" s="1"/>
  <c r="E73" i="2"/>
  <c r="H74" i="2"/>
  <c r="C75" i="2" s="1"/>
  <c r="E74" i="2"/>
  <c r="F74" i="2" s="1"/>
  <c r="F73" i="2" l="1"/>
  <c r="I73" i="2" s="1"/>
  <c r="E46" i="4"/>
  <c r="D13" i="9" s="1"/>
  <c r="I74" i="2"/>
  <c r="H75" i="2"/>
  <c r="E75" i="2"/>
  <c r="F75" i="2" s="1"/>
  <c r="E47" i="4" l="1"/>
  <c r="D28" i="9"/>
  <c r="C76" i="2"/>
  <c r="E76" i="2" s="1"/>
  <c r="F76" i="2" s="1"/>
  <c r="I75" i="2"/>
  <c r="E49" i="4" l="1"/>
  <c r="E51" i="4" s="1"/>
  <c r="E59" i="4" s="1"/>
  <c r="H76" i="2"/>
  <c r="C77" i="2" s="1"/>
  <c r="H77" i="2" s="1"/>
  <c r="I76" i="2"/>
  <c r="E57" i="4" l="1"/>
  <c r="E77" i="2"/>
  <c r="H78" i="2"/>
  <c r="C79" i="2" s="1"/>
  <c r="E79" i="2" s="1"/>
  <c r="C78" i="2"/>
  <c r="E78" i="2" l="1"/>
  <c r="F78" i="2" s="1"/>
  <c r="I78" i="2" s="1"/>
  <c r="F77" i="2"/>
  <c r="I77" i="2" s="1"/>
  <c r="H79" i="2"/>
  <c r="C80" i="2" s="1"/>
  <c r="E80" i="2" s="1"/>
  <c r="F79" i="2"/>
  <c r="H80" i="2" l="1"/>
  <c r="F80" i="2"/>
  <c r="I79" i="2"/>
  <c r="I80" i="2" l="1"/>
  <c r="C81" i="2"/>
  <c r="E81" i="2" s="1"/>
  <c r="H81" i="2"/>
  <c r="C82" i="2" s="1"/>
  <c r="E82" i="2" s="1"/>
  <c r="F81" i="2" l="1"/>
  <c r="H82" i="2"/>
  <c r="C83" i="2" s="1"/>
  <c r="E83" i="2" s="1"/>
  <c r="I81" i="2" l="1"/>
  <c r="F82" i="2"/>
  <c r="I82" i="2" s="1"/>
  <c r="H83" i="2"/>
  <c r="F83" i="2" l="1"/>
  <c r="H84" i="2"/>
  <c r="C84" i="2"/>
  <c r="E84" i="2" s="1"/>
  <c r="I83" i="2" l="1"/>
  <c r="F84" i="2"/>
  <c r="I84" i="2" s="1"/>
  <c r="C85" i="2"/>
  <c r="E85" i="2" l="1"/>
  <c r="F85" i="2" s="1"/>
  <c r="I85" i="2" s="1"/>
  <c r="F55" i="4"/>
  <c r="F41" i="4"/>
  <c r="F43" i="4" s="1"/>
  <c r="F45" i="4" s="1"/>
  <c r="H85" i="2"/>
  <c r="C86" i="2" s="1"/>
  <c r="H86" i="2" l="1"/>
  <c r="C87" i="2" s="1"/>
  <c r="E86" i="2"/>
  <c r="F46" i="4"/>
  <c r="E13" i="9" s="1"/>
  <c r="H87" i="2" l="1"/>
  <c r="C88" i="2" s="1"/>
  <c r="E87" i="2"/>
  <c r="F87" i="2" s="1"/>
  <c r="I87" i="2" s="1"/>
  <c r="F47" i="4"/>
  <c r="F49" i="4" s="1"/>
  <c r="F51" i="4" s="1"/>
  <c r="F86" i="2"/>
  <c r="E28" i="9"/>
  <c r="E88" i="2" l="1"/>
  <c r="F88" i="2" s="1"/>
  <c r="I88" i="2" s="1"/>
  <c r="I86" i="2"/>
  <c r="F59" i="4"/>
  <c r="F57" i="4"/>
  <c r="H88" i="2"/>
  <c r="C89" i="2" s="1"/>
  <c r="H89" i="2" l="1"/>
  <c r="H90" i="2" s="1"/>
  <c r="E89" i="2"/>
  <c r="H91" i="2" l="1"/>
  <c r="C91" i="2"/>
  <c r="E91" i="2" s="1"/>
  <c r="F91" i="2" s="1"/>
  <c r="I91" i="2" s="1"/>
  <c r="C90" i="2"/>
  <c r="E90" i="2" s="1"/>
  <c r="F90" i="2" s="1"/>
  <c r="I90" i="2" s="1"/>
  <c r="F89" i="2"/>
  <c r="H92" i="2" l="1"/>
  <c r="C92" i="2"/>
  <c r="F92" i="2" s="1"/>
  <c r="I92" i="2" s="1"/>
  <c r="I89" i="2"/>
  <c r="H93" i="2" l="1"/>
  <c r="C93" i="2"/>
  <c r="E93" i="2" s="1"/>
  <c r="F93" i="2" l="1"/>
  <c r="I93" i="2" s="1"/>
  <c r="H94" i="2"/>
  <c r="C94" i="2"/>
  <c r="E94" i="2" s="1"/>
  <c r="G55" i="4"/>
  <c r="G41" i="4"/>
  <c r="G43" i="4" s="1"/>
  <c r="G45" i="4" s="1"/>
  <c r="F94" i="2" l="1"/>
  <c r="I94" i="2" s="1"/>
  <c r="H95" i="2"/>
  <c r="C95" i="2"/>
  <c r="E95" i="2" s="1"/>
  <c r="F95" i="2" s="1"/>
  <c r="I95" i="2" s="1"/>
  <c r="G46" i="4"/>
  <c r="F13" i="9" s="1"/>
  <c r="H96" i="2" l="1"/>
  <c r="C96" i="2"/>
  <c r="E96" i="2" s="1"/>
  <c r="F96" i="2" s="1"/>
  <c r="I96" i="2" s="1"/>
  <c r="G47" i="4"/>
  <c r="G49" i="4" s="1"/>
  <c r="G51" i="4" s="1"/>
  <c r="F28" i="9"/>
  <c r="H97" i="2" l="1"/>
  <c r="C97" i="2"/>
  <c r="E97" i="2" s="1"/>
  <c r="G57" i="4"/>
  <c r="G59" i="4"/>
  <c r="F97" i="2" l="1"/>
  <c r="I97" i="2" s="1"/>
  <c r="H98" i="2"/>
  <c r="C98" i="2"/>
  <c r="E98" i="2" s="1"/>
  <c r="F98" i="2" s="1"/>
  <c r="I98" i="2" s="1"/>
  <c r="H99" i="2" l="1"/>
  <c r="C99" i="2"/>
  <c r="E99" i="2" s="1"/>
  <c r="F99" i="2" s="1"/>
  <c r="I99" i="2" s="1"/>
  <c r="H100" i="2" l="1"/>
  <c r="C100" i="2"/>
  <c r="E100" i="2" s="1"/>
  <c r="H55" i="4"/>
  <c r="H41" i="4"/>
  <c r="H43" i="4" s="1"/>
  <c r="H45" i="4" s="1"/>
  <c r="F100" i="2" l="1"/>
  <c r="I100" i="2" s="1"/>
  <c r="H101" i="2"/>
  <c r="C101" i="2"/>
  <c r="E101" i="2" s="1"/>
  <c r="F101" i="2" s="1"/>
  <c r="I101" i="2" s="1"/>
  <c r="H46" i="4"/>
  <c r="G13" i="9" s="1"/>
  <c r="H102" i="2" l="1"/>
  <c r="C102" i="2"/>
  <c r="I102" i="2" s="1"/>
  <c r="H47" i="4"/>
  <c r="H49" i="4" s="1"/>
  <c r="H51" i="4" s="1"/>
  <c r="G28" i="9"/>
  <c r="H103" i="2" l="1"/>
  <c r="C103" i="2"/>
  <c r="E103" i="2" s="1"/>
  <c r="F103" i="2" s="1"/>
  <c r="I103" i="2" s="1"/>
  <c r="H57" i="4"/>
  <c r="H59" i="4"/>
  <c r="H13" i="9" l="1"/>
  <c r="H28" i="9" s="1"/>
  <c r="M105" i="2" l="1"/>
  <c r="K105" i="2"/>
  <c r="I105" i="2"/>
  <c r="J55" i="4" l="1"/>
  <c r="C33" i="4" l="1"/>
  <c r="C37" i="4" s="1"/>
  <c r="C41" i="4" s="1"/>
  <c r="C43" i="4" s="1"/>
  <c r="C45" i="4" s="1"/>
  <c r="C31" i="4" l="1"/>
  <c r="C35" i="4"/>
  <c r="C46" i="4"/>
  <c r="B13" i="9" s="1"/>
  <c r="B8" i="11" s="1"/>
  <c r="B28" i="9" l="1"/>
  <c r="C47" i="4"/>
  <c r="C49" i="4" s="1"/>
  <c r="C51" i="4" l="1"/>
  <c r="B8" i="9"/>
  <c r="C8" i="9" l="1"/>
  <c r="B15" i="9"/>
  <c r="B26" i="9" s="1"/>
  <c r="B27" i="9"/>
  <c r="C57" i="4"/>
  <c r="J51" i="4"/>
  <c r="C59" i="4"/>
  <c r="J59" i="4" l="1"/>
  <c r="J57" i="4"/>
  <c r="C15" i="9"/>
  <c r="C26" i="9" s="1"/>
  <c r="D8" i="9"/>
  <c r="C27" i="9"/>
  <c r="D15" i="9" l="1"/>
  <c r="D26" i="9" s="1"/>
  <c r="D27" i="9"/>
  <c r="E8" i="9"/>
  <c r="E27" i="9" l="1"/>
  <c r="E15" i="9"/>
  <c r="E26" i="9" s="1"/>
  <c r="F8" i="9"/>
  <c r="F15" i="9" l="1"/>
  <c r="F26" i="9" s="1"/>
  <c r="G8" i="9"/>
  <c r="F27" i="9"/>
  <c r="G27" i="9" l="1"/>
  <c r="H8" i="9"/>
  <c r="G15" i="9"/>
  <c r="G26" i="9" s="1"/>
  <c r="H15" i="9" l="1"/>
  <c r="H26" i="9" s="1"/>
  <c r="H27" i="9"/>
</calcChain>
</file>

<file path=xl/sharedStrings.xml><?xml version="1.0" encoding="utf-8"?>
<sst xmlns="http://schemas.openxmlformats.org/spreadsheetml/2006/main" count="500" uniqueCount="378">
  <si>
    <t>Cost of Project</t>
  </si>
  <si>
    <t>Particulars</t>
  </si>
  <si>
    <t>Already Incurred</t>
  </si>
  <si>
    <t>To be Incurred</t>
  </si>
  <si>
    <t>Total Cost</t>
  </si>
  <si>
    <t>Contingencies @ 2%</t>
  </si>
  <si>
    <t xml:space="preserve">Construction period Interest </t>
  </si>
  <si>
    <t>Total Project Cost</t>
  </si>
  <si>
    <t>Means of Finance</t>
  </si>
  <si>
    <t>Already Done</t>
  </si>
  <si>
    <t>Proposed</t>
  </si>
  <si>
    <t>Total</t>
  </si>
  <si>
    <t>Promoters Contribution</t>
  </si>
  <si>
    <t>Bank Finance (TL)</t>
  </si>
  <si>
    <t>TERM LOAN DISBURSEMENT, REPAYMENT SCHEDULE &amp; INTEREST CALCULATION</t>
  </si>
  <si>
    <t>COP</t>
  </si>
  <si>
    <t>Debt-Equity Ratio</t>
  </si>
  <si>
    <t>Term Loan</t>
  </si>
  <si>
    <t>Loan Sanctioned</t>
  </si>
  <si>
    <t>No. of Installment</t>
  </si>
  <si>
    <t>Rate of Interest</t>
  </si>
  <si>
    <t xml:space="preserve">No. of </t>
  </si>
  <si>
    <t>Month</t>
  </si>
  <si>
    <t>Op. Bal</t>
  </si>
  <si>
    <t>Disbursement</t>
  </si>
  <si>
    <t xml:space="preserve">Interest </t>
  </si>
  <si>
    <t>Interest</t>
  </si>
  <si>
    <t>TL Repaid</t>
  </si>
  <si>
    <t>TL</t>
  </si>
  <si>
    <t xml:space="preserve">Total </t>
  </si>
  <si>
    <t>Year Ending</t>
  </si>
  <si>
    <t xml:space="preserve">Intt. Exp. </t>
  </si>
  <si>
    <t>Repay of</t>
  </si>
  <si>
    <t>Instl.</t>
  </si>
  <si>
    <t>Due</t>
  </si>
  <si>
    <t>Paid</t>
  </si>
  <si>
    <t>Outstanding</t>
  </si>
  <si>
    <t>Monthly</t>
  </si>
  <si>
    <t>Yearly</t>
  </si>
  <si>
    <t>Principal</t>
  </si>
  <si>
    <t>Repayment</t>
  </si>
  <si>
    <t>Calculation of Depriciations (As per Income Tax Act )</t>
  </si>
  <si>
    <t xml:space="preserve">Gross Block </t>
  </si>
  <si>
    <t>Building and other civil work</t>
  </si>
  <si>
    <t>Plant and Machinery</t>
  </si>
  <si>
    <t>Depreciation</t>
  </si>
  <si>
    <t>Plant and machinery</t>
  </si>
  <si>
    <t>Net Block</t>
  </si>
  <si>
    <t>Building &amp; other civil work</t>
  </si>
  <si>
    <t>PARTICULARS</t>
  </si>
  <si>
    <t>Months</t>
  </si>
  <si>
    <t>Total Revenue</t>
  </si>
  <si>
    <t>Operating Cost</t>
  </si>
  <si>
    <t>Repair &amp; Maintenance (% of Building, P&amp;M)</t>
  </si>
  <si>
    <t>Rent Rates &amp; Taxes (% of Building , P&amp;M,MFA)</t>
  </si>
  <si>
    <t>0.2%</t>
  </si>
  <si>
    <t>Insurance (of Net Block)</t>
  </si>
  <si>
    <t>Total Cost of Operation</t>
  </si>
  <si>
    <t>OPERATING COST/SALES</t>
  </si>
  <si>
    <t>Gross Operating Profit B Intt, Tax &amp; Deprn</t>
  </si>
  <si>
    <t>PBDIT/SALES</t>
  </si>
  <si>
    <t>EBIDTA</t>
  </si>
  <si>
    <t>Financial Expenses : Interest on Term Loan</t>
  </si>
  <si>
    <t>Profit before Depreciation</t>
  </si>
  <si>
    <t>Profit after Depreciation</t>
  </si>
  <si>
    <t>Prel. Expenses W/Off</t>
  </si>
  <si>
    <t>Profit Before Tax</t>
  </si>
  <si>
    <t>Income Tax</t>
  </si>
  <si>
    <t>Profit After Tax</t>
  </si>
  <si>
    <t>Dividend</t>
  </si>
  <si>
    <t>Retaind Profit</t>
  </si>
  <si>
    <t>Net Cash Accurals</t>
  </si>
  <si>
    <t>Repayment of Term Loan</t>
  </si>
  <si>
    <t>Interest on Term Loan</t>
  </si>
  <si>
    <t>DSCR (Net)</t>
  </si>
  <si>
    <t>DSCR (Gross)</t>
  </si>
  <si>
    <t>Furniture &amp; Fixtures</t>
  </si>
  <si>
    <t>Lacs</t>
  </si>
  <si>
    <t xml:space="preserve">Power &amp; Fuel </t>
  </si>
  <si>
    <t>Administration &amp; Misc. Exp</t>
  </si>
  <si>
    <t>Other Operating Expenses</t>
  </si>
  <si>
    <t>Details of Plant &amp; Machinery</t>
  </si>
  <si>
    <t xml:space="preserve">Liabilities:   </t>
  </si>
  <si>
    <t>Reserve &amp; Surplus</t>
  </si>
  <si>
    <t>Assets:</t>
  </si>
  <si>
    <t>Fixed Assets</t>
  </si>
  <si>
    <t>Sundry Debtors</t>
  </si>
  <si>
    <t>Cash &amp; Bank Balances</t>
  </si>
  <si>
    <t>Sundry Creditors</t>
  </si>
  <si>
    <t>Capital</t>
  </si>
  <si>
    <t>Projected</t>
  </si>
  <si>
    <t>Projected Balance Sheet</t>
  </si>
  <si>
    <t>Long Term Borrowing</t>
  </si>
  <si>
    <t>Provision for Tax</t>
  </si>
  <si>
    <t>TOL/TNW</t>
  </si>
  <si>
    <t>Current Ratio</t>
  </si>
  <si>
    <t>Working Capital Loan</t>
  </si>
  <si>
    <t>Bank Finance (WC)</t>
  </si>
  <si>
    <t>Financial Expenses : Interest on WC</t>
  </si>
  <si>
    <t>Gestation Period</t>
  </si>
  <si>
    <t>Difference in B/S</t>
  </si>
  <si>
    <t>Feb-23</t>
  </si>
  <si>
    <t>March-23</t>
  </si>
  <si>
    <t>April-23</t>
  </si>
  <si>
    <t>May-23</t>
  </si>
  <si>
    <t>June-23</t>
  </si>
  <si>
    <t>July-23</t>
  </si>
  <si>
    <t>Aug-23</t>
  </si>
  <si>
    <t>Sep-23</t>
  </si>
  <si>
    <t>Oct-23</t>
  </si>
  <si>
    <t>Nov-23</t>
  </si>
  <si>
    <t>Dec-23</t>
  </si>
  <si>
    <t>Jan-24</t>
  </si>
  <si>
    <t>Feb-24</t>
  </si>
  <si>
    <t>March-24</t>
  </si>
  <si>
    <t>Preliminary Ex.</t>
  </si>
  <si>
    <t xml:space="preserve">Deposits with Govt. /private </t>
  </si>
  <si>
    <t>Short Term Liab.(Part of Long Term Liab)</t>
  </si>
  <si>
    <t>Advance Taxes / Loans and advances, Advance to suppliers etc.</t>
  </si>
  <si>
    <t>(Values in Crs.)</t>
  </si>
  <si>
    <t>Construction of Building + Devlp. of Land</t>
  </si>
  <si>
    <t>April-24</t>
  </si>
  <si>
    <t>May-24</t>
  </si>
  <si>
    <t>June-24</t>
  </si>
  <si>
    <t>July-24</t>
  </si>
  <si>
    <t>Aug-24</t>
  </si>
  <si>
    <t>Sep-24</t>
  </si>
  <si>
    <t>Oct-24</t>
  </si>
  <si>
    <t>Nov-24</t>
  </si>
  <si>
    <t>Dec-24</t>
  </si>
  <si>
    <t>Jan-25</t>
  </si>
  <si>
    <t>Feb-25</t>
  </si>
  <si>
    <t>March-25</t>
  </si>
  <si>
    <t>April-25</t>
  </si>
  <si>
    <t>May-25</t>
  </si>
  <si>
    <t>June-25</t>
  </si>
  <si>
    <t>July-25</t>
  </si>
  <si>
    <t>Aug-25</t>
  </si>
  <si>
    <t>Sep-25</t>
  </si>
  <si>
    <t>Oct-25</t>
  </si>
  <si>
    <t>Nov-25</t>
  </si>
  <si>
    <t>Dec-25</t>
  </si>
  <si>
    <t>Jan-26</t>
  </si>
  <si>
    <t>Feb-26</t>
  </si>
  <si>
    <t>March-26</t>
  </si>
  <si>
    <t>April-26</t>
  </si>
  <si>
    <t>May-26</t>
  </si>
  <si>
    <t>June-26</t>
  </si>
  <si>
    <t>July-26</t>
  </si>
  <si>
    <t>Aug-26</t>
  </si>
  <si>
    <t>Sep-26</t>
  </si>
  <si>
    <t>Oct-26</t>
  </si>
  <si>
    <t>Nov-26</t>
  </si>
  <si>
    <t>Dec-26</t>
  </si>
  <si>
    <t>Jan-27</t>
  </si>
  <si>
    <t>Feb-27</t>
  </si>
  <si>
    <t>March-27</t>
  </si>
  <si>
    <t>April-27</t>
  </si>
  <si>
    <t>May-27</t>
  </si>
  <si>
    <t>June-27</t>
  </si>
  <si>
    <t>July-27</t>
  </si>
  <si>
    <t>Aug-27</t>
  </si>
  <si>
    <t>Sep-27</t>
  </si>
  <si>
    <t>Oct-27</t>
  </si>
  <si>
    <t>Nov-27</t>
  </si>
  <si>
    <t>Dec-27</t>
  </si>
  <si>
    <t>Jan-28</t>
  </si>
  <si>
    <t>Feb-28</t>
  </si>
  <si>
    <t>March-28</t>
  </si>
  <si>
    <t>April-28</t>
  </si>
  <si>
    <t>May-28</t>
  </si>
  <si>
    <t>June-28</t>
  </si>
  <si>
    <t>July-28</t>
  </si>
  <si>
    <t>Aug-28</t>
  </si>
  <si>
    <t>Sep-28</t>
  </si>
  <si>
    <t>Oct-28</t>
  </si>
  <si>
    <t>Nov-28</t>
  </si>
  <si>
    <t>Dec-28</t>
  </si>
  <si>
    <t>Jan-29</t>
  </si>
  <si>
    <t>Feb-29</t>
  </si>
  <si>
    <t>March-29</t>
  </si>
  <si>
    <t>April-29</t>
  </si>
  <si>
    <t>May-29</t>
  </si>
  <si>
    <t>June-29</t>
  </si>
  <si>
    <t>July-29</t>
  </si>
  <si>
    <t>Aug-29</t>
  </si>
  <si>
    <t>Sep-29</t>
  </si>
  <si>
    <t>Oct-29</t>
  </si>
  <si>
    <t>Nov-29</t>
  </si>
  <si>
    <t>Dec-29</t>
  </si>
  <si>
    <t>Jan-30</t>
  </si>
  <si>
    <t>Feb-30</t>
  </si>
  <si>
    <t>March-30</t>
  </si>
  <si>
    <t>2024-25</t>
  </si>
  <si>
    <t>2025-26</t>
  </si>
  <si>
    <t>2026-27</t>
  </si>
  <si>
    <t>2027-28</t>
  </si>
  <si>
    <t>2028-29</t>
  </si>
  <si>
    <t>2029-30</t>
  </si>
  <si>
    <t>Furniture &amp; Fixtures &amp; others</t>
  </si>
  <si>
    <t xml:space="preserve">                                                                   (Amounts in Crs)</t>
  </si>
  <si>
    <t>(Amts in crs)</t>
  </si>
  <si>
    <t>(Figures in crs)</t>
  </si>
  <si>
    <t>2023-24</t>
  </si>
  <si>
    <t xml:space="preserve">Purchase of Plant and Machinery </t>
  </si>
  <si>
    <t>1st- 5 years</t>
  </si>
  <si>
    <t>M/s BOTHANZI MEDICALS PRIVATE LIMITED</t>
  </si>
  <si>
    <t>Trade Deposits, Govt. Deposits, Rental Deposits and other Advances</t>
  </si>
  <si>
    <t>Working Capital Interest:</t>
  </si>
  <si>
    <t>Limit Sanctioned</t>
  </si>
  <si>
    <t>Crs.</t>
  </si>
  <si>
    <t>Interest/PA</t>
  </si>
  <si>
    <t>&gt;5 years</t>
  </si>
  <si>
    <t>* Deposits required for Rental Deposits,Electrification, Registrations, and tax purposes to the Government agencies.</t>
  </si>
  <si>
    <t>Working Capital GAP</t>
  </si>
  <si>
    <t>Projected Profitability Statement     M/s BOTHANZI MEDICALS PRIVATE LIMITED</t>
  </si>
  <si>
    <t>Project: MULTI SPECIALITY HOSPITAL (120 Beds)  at K. No.-2015, NH -2, Delhi-Mathura Road, Near Kithwari Chowk, Krishna Colony, Palwal, Haryana-121102</t>
  </si>
  <si>
    <t>Capacity utilisation %</t>
  </si>
  <si>
    <t>BOTHANZI MEDICALS PRIVATE LIMITED</t>
  </si>
  <si>
    <t>Deluxe room-1 no. @ 7000/- PDAY</t>
  </si>
  <si>
    <t>ICU- 22 nos @ 8000/-Pday</t>
  </si>
  <si>
    <t>Total room revenue per day</t>
  </si>
  <si>
    <t>Total room revenue PM</t>
  </si>
  <si>
    <t>Bed Revenue: Total number of beds 120</t>
  </si>
  <si>
    <t>Number of Rooms</t>
  </si>
  <si>
    <t>Rate per day</t>
  </si>
  <si>
    <t>Revenue</t>
  </si>
  <si>
    <t>Departmental Revenue PA</t>
  </si>
  <si>
    <t xml:space="preserve">Misc. Revenue </t>
  </si>
  <si>
    <t>Income Estimates: Room Revenue</t>
  </si>
  <si>
    <t>Income Estimates: Departmental Revenue</t>
  </si>
  <si>
    <t>Assumptions:</t>
  </si>
  <si>
    <t>Total number of Beds</t>
  </si>
  <si>
    <t>Available beds in a year</t>
  </si>
  <si>
    <t>Average length of stay</t>
  </si>
  <si>
    <t>days</t>
  </si>
  <si>
    <t>beds</t>
  </si>
  <si>
    <t>Number of addmissions</t>
  </si>
  <si>
    <t>Total number of days- Indoor</t>
  </si>
  <si>
    <t>Total number of days-OPD</t>
  </si>
  <si>
    <t>Calculation of Revenue Projections:</t>
  </si>
  <si>
    <t>Department</t>
  </si>
  <si>
    <t>Productivity</t>
  </si>
  <si>
    <t>Indoor</t>
  </si>
  <si>
    <t>OPD</t>
  </si>
  <si>
    <t>Avg. Rate per case</t>
  </si>
  <si>
    <t>Income</t>
  </si>
  <si>
    <t>In-Patient Consultation</t>
  </si>
  <si>
    <t>General OPD</t>
  </si>
  <si>
    <t>Special OPD</t>
  </si>
  <si>
    <t>Cardiac OPD</t>
  </si>
  <si>
    <t>Angiography</t>
  </si>
  <si>
    <t>Angioplasty</t>
  </si>
  <si>
    <t>Urology surgeries:</t>
  </si>
  <si>
    <t>Surgeon Charges</t>
  </si>
  <si>
    <t>OT Charges</t>
  </si>
  <si>
    <t>Anesthetist Charges</t>
  </si>
  <si>
    <t>Consumables</t>
  </si>
  <si>
    <t>Ortho &amp; Spine Surgeries:</t>
  </si>
  <si>
    <t>Gynae Surgeries:</t>
  </si>
  <si>
    <t>General Procedures:</t>
  </si>
  <si>
    <t>Dialysis</t>
  </si>
  <si>
    <t>Daycare</t>
  </si>
  <si>
    <t>C Section</t>
  </si>
  <si>
    <t>Normal Delivery (Delivery Room)</t>
  </si>
  <si>
    <t>Admission fee</t>
  </si>
  <si>
    <t>Pharmacy</t>
  </si>
  <si>
    <t>Minor Procedures</t>
  </si>
  <si>
    <t>Pathology</t>
  </si>
  <si>
    <t>MRI</t>
  </si>
  <si>
    <t>CT SCAN</t>
  </si>
  <si>
    <t>X-ray</t>
  </si>
  <si>
    <t>Sonography</t>
  </si>
  <si>
    <t>ECG</t>
  </si>
  <si>
    <t>Total revenue PA @ 100% CAPACITY</t>
  </si>
  <si>
    <t>Less: 10% discount on account of charity and Professional referral cases.</t>
  </si>
  <si>
    <t>Net Revenue PA on 100% capacity</t>
  </si>
  <si>
    <t>Monthly revenue</t>
  </si>
  <si>
    <t>Income Estimates: Misc Revenue</t>
  </si>
  <si>
    <t>Revenue-PA</t>
  </si>
  <si>
    <t>Rent from cafeteria</t>
  </si>
  <si>
    <t>Certificates/ Passess</t>
  </si>
  <si>
    <t>Total Revenue-PA</t>
  </si>
  <si>
    <t>Lease Rentals</t>
  </si>
  <si>
    <t>Canteen/ Kitchen in house @ 500/- PD/PBed</t>
  </si>
  <si>
    <t>CMC Cost for Machinery Maintenance company/ PA @ % of P&amp;M</t>
  </si>
  <si>
    <t>Cost of foods, stationary, maintenance ex. @ % of Misc. Revenues</t>
  </si>
  <si>
    <t>Cost of Rooms maintenance, Washing of Linen etc. @ % of room revenue</t>
  </si>
  <si>
    <t>Salary and wages @ % of the total revenue</t>
  </si>
  <si>
    <t>Calculation of WC Gap</t>
  </si>
  <si>
    <t>Amounts in crs.</t>
  </si>
  <si>
    <t>Total Current Assets- A</t>
  </si>
  <si>
    <t>Less: Current Liabilities-B</t>
  </si>
  <si>
    <t>WC GAP</t>
  </si>
  <si>
    <t xml:space="preserve">S. No. </t>
  </si>
  <si>
    <t>Name of Machinery / Equipment</t>
  </si>
  <si>
    <t>Vendor / Seller Company Name</t>
  </si>
  <si>
    <t>Nos.</t>
  </si>
  <si>
    <t>Total Cost with GST</t>
  </si>
  <si>
    <t>Hematology Analyzer - 5 Part</t>
  </si>
  <si>
    <t>Medico India Hospital Solutions</t>
  </si>
  <si>
    <t>Coagulation Analyzer</t>
  </si>
  <si>
    <t>Urine Analyzer</t>
  </si>
  <si>
    <t xml:space="preserve">C Arm </t>
  </si>
  <si>
    <t xml:space="preserve">X-Ray Machine </t>
  </si>
  <si>
    <t>CR System</t>
  </si>
  <si>
    <t xml:space="preserve">Multy Para Monitor </t>
  </si>
  <si>
    <t xml:space="preserve">Seven Para Monitor </t>
  </si>
  <si>
    <t xml:space="preserve">ECG Machine </t>
  </si>
  <si>
    <t>Infusion Pump</t>
  </si>
  <si>
    <t>Syring Pump</t>
  </si>
  <si>
    <t>Suction Machine - Hi Vac</t>
  </si>
  <si>
    <t>Bi Pap</t>
  </si>
  <si>
    <t xml:space="preserve">Infusion Pump </t>
  </si>
  <si>
    <t xml:space="preserve">Syring Pump </t>
  </si>
  <si>
    <t>Suction Machine - Low Vac</t>
  </si>
  <si>
    <t xml:space="preserve">Ventilator </t>
  </si>
  <si>
    <t xml:space="preserve">Defibrilator </t>
  </si>
  <si>
    <t xml:space="preserve">Anesthesia Work Station </t>
  </si>
  <si>
    <t xml:space="preserve">Boyal Basic </t>
  </si>
  <si>
    <t xml:space="preserve">Bio Chemistry Analyzer - Semi Automatic </t>
  </si>
  <si>
    <t xml:space="preserve">Multipara Monitor </t>
  </si>
  <si>
    <t xml:space="preserve">Cautery Machine </t>
  </si>
  <si>
    <t>Orhtopedic Power &amp; Saw Drill</t>
  </si>
  <si>
    <t>Tourniquet Double Cuff</t>
  </si>
  <si>
    <t>Plaster Cutter</t>
  </si>
  <si>
    <t>Elisa Reader</t>
  </si>
  <si>
    <t>Electrolyte Analyzer</t>
  </si>
  <si>
    <t xml:space="preserve">ETO Machine </t>
  </si>
  <si>
    <t xml:space="preserve">Uroflow Meter </t>
  </si>
  <si>
    <t>Easyflow Pump</t>
  </si>
  <si>
    <t>Mobile X-Ray</t>
  </si>
  <si>
    <t>Ventilator</t>
  </si>
  <si>
    <t>Difib</t>
  </si>
  <si>
    <t>ECG Machine</t>
  </si>
  <si>
    <t>Syringe Pump</t>
  </si>
  <si>
    <t>Bipap</t>
  </si>
  <si>
    <t>Horizontal Autoclave</t>
  </si>
  <si>
    <t>Dialsys Machine</t>
  </si>
  <si>
    <t>RO Pump</t>
  </si>
  <si>
    <t>Urology Equipment</t>
  </si>
  <si>
    <t>Camera Set</t>
  </si>
  <si>
    <t>Laparoscopy Set</t>
  </si>
  <si>
    <t>Multipara Monitor</t>
  </si>
  <si>
    <t>Seven Para Monitor</t>
  </si>
  <si>
    <t>Arthroscopy set</t>
  </si>
  <si>
    <t>Incubator</t>
  </si>
  <si>
    <t>Radiant Warmer</t>
  </si>
  <si>
    <t>Bubble Cpap</t>
  </si>
  <si>
    <t>Phototherapy Unit</t>
  </si>
  <si>
    <t>HFNC</t>
  </si>
  <si>
    <t>Neopuff</t>
  </si>
  <si>
    <t>Transport Incubator With Standard Trolley Mannual</t>
  </si>
  <si>
    <t>Ozone Generator</t>
  </si>
  <si>
    <t>RF Generator</t>
  </si>
  <si>
    <t>LaminarFlow</t>
  </si>
  <si>
    <t>Harmonic Scalpel</t>
  </si>
  <si>
    <t>CT Scan</t>
  </si>
  <si>
    <t>Wipro GE Healthcare</t>
  </si>
  <si>
    <t>USG</t>
  </si>
  <si>
    <t>Modular OT, Labour room and MGPS</t>
  </si>
  <si>
    <t>Vaishno Engineering Services</t>
  </si>
  <si>
    <t>Complete Hospital Work</t>
  </si>
  <si>
    <t>Hospital Electrical and HVAC System</t>
  </si>
  <si>
    <t>GS Enterprises</t>
  </si>
  <si>
    <t xml:space="preserve">Plumbing, fire, STP, and ETP </t>
  </si>
  <si>
    <t>KLN AQUA</t>
  </si>
  <si>
    <t>Complete Hospital beds and other furnitures</t>
  </si>
  <si>
    <t>Details of Furniture and Fixtures:</t>
  </si>
  <si>
    <t>Hospital beds, side tables, attendant beds, entire Hospital Furniture, Reception, Billing counters, Almirahs, Storage almirahs, Lockers, Chairs, chairs in the waiting area etc.</t>
  </si>
  <si>
    <t>Value in crs.</t>
  </si>
  <si>
    <t>Departmental ex.- Doctors ex, OT Ex, Consumables Ex., others- @ 60% of Dep. Revenues</t>
  </si>
  <si>
    <t>Private Room - 30 nos. @ 4000/- Pday</t>
  </si>
  <si>
    <t>Semi.Private-4 nos. @ 2500/-Pday</t>
  </si>
  <si>
    <t>OBG Ward- 5nos. @ 2000/-Pday</t>
  </si>
  <si>
    <t>Economy- 55 nos. @ 1500/-Pday</t>
  </si>
  <si>
    <t>NICU-3 nos. @ 5000/-Pday</t>
  </si>
  <si>
    <t>Closing Stock  incl. Pharmacy medicines stocks, Kitchen foods Stock, Hospital Medicies, Gases, Chemicals, Stationery, 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</si>
</sst>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  <font>
      <sz val="9"/>
      <color rgb="FFC0000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u/>
      <sz val="8"/>
      <color theme="1"/>
      <name val="Tahoma"/>
      <family val="2"/>
    </font>
    <font>
      <sz val="8"/>
      <color theme="1"/>
      <name val="Tahoma"/>
      <family val="2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2" fontId="0" fillId="0" borderId="6" xfId="0" applyNumberFormat="1" applyBorder="1" applyAlignment="1">
      <alignment horizontal="center"/>
    </xf>
    <xf numFmtId="0" fontId="2" fillId="0" borderId="6" xfId="0" applyFont="1" applyBorder="1"/>
    <xf numFmtId="2" fontId="2" fillId="0" borderId="7" xfId="0" applyNumberFormat="1" applyFont="1" applyBorder="1" applyAlignment="1">
      <alignment horizontal="center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0" xfId="1" applyFont="1" applyFill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2" fontId="4" fillId="0" borderId="0" xfId="0" applyNumberFormat="1" applyFont="1"/>
    <xf numFmtId="1" fontId="4" fillId="0" borderId="0" xfId="0" applyNumberFormat="1" applyFont="1"/>
    <xf numFmtId="10" fontId="4" fillId="0" borderId="0" xfId="0" applyNumberFormat="1" applyFont="1"/>
    <xf numFmtId="0" fontId="4" fillId="0" borderId="8" xfId="0" applyFont="1" applyBorder="1"/>
    <xf numFmtId="0" fontId="4" fillId="0" borderId="9" xfId="0" applyFont="1" applyBorder="1"/>
    <xf numFmtId="0" fontId="4" fillId="0" borderId="6" xfId="0" applyFont="1" applyBorder="1"/>
    <xf numFmtId="0" fontId="4" fillId="0" borderId="10" xfId="0" applyFont="1" applyBorder="1"/>
    <xf numFmtId="0" fontId="4" fillId="0" borderId="5" xfId="0" applyFont="1" applyBorder="1"/>
    <xf numFmtId="0" fontId="4" fillId="0" borderId="11" xfId="0" applyFont="1" applyBorder="1"/>
    <xf numFmtId="0" fontId="4" fillId="0" borderId="0" xfId="0" applyFont="1" applyAlignment="1">
      <alignment horizontal="center"/>
    </xf>
    <xf numFmtId="16" fontId="4" fillId="0" borderId="0" xfId="0" applyNumberFormat="1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4" fillId="2" borderId="1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9" fontId="4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/>
    <xf numFmtId="0" fontId="7" fillId="3" borderId="1" xfId="0" applyFont="1" applyFill="1" applyBorder="1"/>
    <xf numFmtId="0" fontId="4" fillId="3" borderId="1" xfId="0" applyFont="1" applyFill="1" applyBorder="1"/>
    <xf numFmtId="9" fontId="7" fillId="3" borderId="1" xfId="0" applyNumberFormat="1" applyFont="1" applyFill="1" applyBorder="1"/>
    <xf numFmtId="2" fontId="4" fillId="3" borderId="1" xfId="0" applyNumberFormat="1" applyFont="1" applyFill="1" applyBorder="1"/>
    <xf numFmtId="2" fontId="4" fillId="0" borderId="1" xfId="0" applyNumberFormat="1" applyFont="1" applyBorder="1"/>
    <xf numFmtId="0" fontId="7" fillId="4" borderId="1" xfId="0" applyFont="1" applyFill="1" applyBorder="1"/>
    <xf numFmtId="2" fontId="7" fillId="4" borderId="1" xfId="0" applyNumberFormat="1" applyFont="1" applyFill="1" applyBorder="1"/>
    <xf numFmtId="0" fontId="6" fillId="3" borderId="1" xfId="0" applyFont="1" applyFill="1" applyBorder="1"/>
    <xf numFmtId="2" fontId="4" fillId="3" borderId="1" xfId="1" applyNumberFormat="1" applyFont="1" applyFill="1" applyBorder="1"/>
    <xf numFmtId="9" fontId="7" fillId="3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2" fontId="4" fillId="4" borderId="1" xfId="0" applyNumberFormat="1" applyFont="1" applyFill="1" applyBorder="1"/>
    <xf numFmtId="9" fontId="4" fillId="2" borderId="1" xfId="0" applyNumberFormat="1" applyFont="1" applyFill="1" applyBorder="1"/>
    <xf numFmtId="2" fontId="4" fillId="2" borderId="1" xfId="0" applyNumberFormat="1" applyFont="1" applyFill="1" applyBorder="1"/>
    <xf numFmtId="2" fontId="4" fillId="5" borderId="1" xfId="0" applyNumberFormat="1" applyFont="1" applyFill="1" applyBorder="1"/>
    <xf numFmtId="0" fontId="7" fillId="6" borderId="1" xfId="0" applyFont="1" applyFill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0" fontId="6" fillId="0" borderId="0" xfId="0" applyFont="1" applyAlignment="1">
      <alignment horizontal="right"/>
    </xf>
    <xf numFmtId="9" fontId="7" fillId="3" borderId="1" xfId="2" applyFont="1" applyFill="1" applyBorder="1"/>
    <xf numFmtId="164" fontId="0" fillId="0" borderId="0" xfId="1" applyFont="1"/>
    <xf numFmtId="0" fontId="2" fillId="0" borderId="0" xfId="0" applyFont="1" applyAlignment="1">
      <alignment horizontal="right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0" fillId="0" borderId="0" xfId="1" applyFont="1" applyAlignment="1">
      <alignment horizontal="center"/>
    </xf>
    <xf numFmtId="164" fontId="3" fillId="0" borderId="0" xfId="1" applyFont="1"/>
    <xf numFmtId="164" fontId="2" fillId="0" borderId="12" xfId="1" applyFont="1" applyBorder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2" fontId="14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1" applyNumberFormat="1" applyFont="1" applyAlignment="1">
      <alignment wrapText="1"/>
    </xf>
    <xf numFmtId="0" fontId="4" fillId="0" borderId="0" xfId="0" applyFont="1" applyAlignment="1">
      <alignment horizontal="left"/>
    </xf>
    <xf numFmtId="9" fontId="7" fillId="3" borderId="1" xfId="2" applyFont="1" applyFill="1" applyBorder="1" applyAlignment="1">
      <alignment horizontal="right"/>
    </xf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horizontal="center" wrapText="1"/>
    </xf>
    <xf numFmtId="2" fontId="2" fillId="0" borderId="6" xfId="0" applyNumberFormat="1" applyFont="1" applyBorder="1" applyAlignment="1">
      <alignment horizontal="center"/>
    </xf>
    <xf numFmtId="0" fontId="0" fillId="7" borderId="13" xfId="0" applyFill="1" applyBorder="1"/>
    <xf numFmtId="0" fontId="0" fillId="7" borderId="9" xfId="0" applyFill="1" applyBorder="1"/>
    <xf numFmtId="0" fontId="0" fillId="7" borderId="0" xfId="0" applyFill="1"/>
    <xf numFmtId="0" fontId="0" fillId="7" borderId="10" xfId="0" applyFill="1" applyBorder="1"/>
    <xf numFmtId="0" fontId="3" fillId="7" borderId="9" xfId="0" applyFont="1" applyFill="1" applyBorder="1"/>
    <xf numFmtId="0" fontId="3" fillId="7" borderId="8" xfId="0" applyFont="1" applyFill="1" applyBorder="1"/>
    <xf numFmtId="0" fontId="0" fillId="7" borderId="5" xfId="0" applyFill="1" applyBorder="1"/>
    <xf numFmtId="0" fontId="0" fillId="7" borderId="6" xfId="0" applyFill="1" applyBorder="1"/>
    <xf numFmtId="1" fontId="0" fillId="7" borderId="6" xfId="0" applyNumberFormat="1" applyFill="1" applyBorder="1"/>
    <xf numFmtId="0" fontId="3" fillId="7" borderId="14" xfId="0" applyFont="1" applyFill="1" applyBorder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2" fillId="7" borderId="6" xfId="0" applyFont="1" applyFill="1" applyBorder="1"/>
    <xf numFmtId="1" fontId="0" fillId="7" borderId="5" xfId="0" applyNumberFormat="1" applyFill="1" applyBorder="1"/>
    <xf numFmtId="0" fontId="0" fillId="7" borderId="6" xfId="0" applyFill="1" applyBorder="1" applyAlignment="1">
      <alignment wrapText="1"/>
    </xf>
    <xf numFmtId="1" fontId="0" fillId="7" borderId="6" xfId="0" applyNumberFormat="1" applyFill="1" applyBorder="1" applyAlignment="1">
      <alignment wrapText="1"/>
    </xf>
    <xf numFmtId="0" fontId="0" fillId="7" borderId="8" xfId="0" applyFill="1" applyBorder="1"/>
    <xf numFmtId="1" fontId="2" fillId="7" borderId="6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1" xfId="0" applyBorder="1"/>
    <xf numFmtId="4" fontId="3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0" fillId="0" borderId="0" xfId="1" applyFont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4" workbookViewId="0">
      <selection activeCell="F24" sqref="F24"/>
    </sheetView>
  </sheetViews>
  <sheetFormatPr defaultRowHeight="15" x14ac:dyDescent="0.25"/>
  <cols>
    <col min="1" max="1" width="46.28515625" customWidth="1"/>
    <col min="2" max="2" width="16" customWidth="1"/>
    <col min="3" max="3" width="14" customWidth="1"/>
    <col min="4" max="4" width="11" customWidth="1"/>
    <col min="6" max="6" width="11.5703125" bestFit="1" customWidth="1"/>
    <col min="7" max="7" width="15.28515625" bestFit="1" customWidth="1"/>
    <col min="8" max="8" width="13.28515625" bestFit="1" customWidth="1"/>
  </cols>
  <sheetData>
    <row r="1" spans="1:8" x14ac:dyDescent="0.25">
      <c r="A1" s="1" t="s">
        <v>206</v>
      </c>
    </row>
    <row r="3" spans="1:8" x14ac:dyDescent="0.25">
      <c r="A3" s="2" t="s">
        <v>216</v>
      </c>
      <c r="B3" s="2"/>
      <c r="C3" s="2"/>
      <c r="D3" s="2"/>
    </row>
    <row r="4" spans="1:8" x14ac:dyDescent="0.25">
      <c r="A4" s="2"/>
      <c r="B4" s="2"/>
      <c r="C4" s="2"/>
      <c r="D4" s="2"/>
    </row>
    <row r="6" spans="1:8" x14ac:dyDescent="0.25">
      <c r="A6" s="3" t="s">
        <v>0</v>
      </c>
      <c r="B6" s="4"/>
      <c r="C6" s="5" t="s">
        <v>119</v>
      </c>
      <c r="D6" s="6"/>
    </row>
    <row r="7" spans="1:8" x14ac:dyDescent="0.25">
      <c r="A7" s="3" t="s">
        <v>1</v>
      </c>
      <c r="B7" s="7" t="s">
        <v>2</v>
      </c>
      <c r="C7" s="7" t="s">
        <v>3</v>
      </c>
      <c r="D7" s="7" t="s">
        <v>4</v>
      </c>
    </row>
    <row r="8" spans="1:8" x14ac:dyDescent="0.25">
      <c r="A8" s="8" t="s">
        <v>120</v>
      </c>
      <c r="B8" s="9">
        <v>5.33</v>
      </c>
      <c r="C8" s="9">
        <v>2.57</v>
      </c>
      <c r="D8" s="9">
        <f>B8+C8</f>
        <v>7.9</v>
      </c>
      <c r="G8" s="15"/>
    </row>
    <row r="9" spans="1:8" x14ac:dyDescent="0.25">
      <c r="A9" s="8" t="s">
        <v>204</v>
      </c>
      <c r="B9" s="9">
        <v>2.1</v>
      </c>
      <c r="C9" s="9">
        <v>8.9</v>
      </c>
      <c r="D9" s="9">
        <f>B9+C9</f>
        <v>11</v>
      </c>
    </row>
    <row r="10" spans="1:8" x14ac:dyDescent="0.25">
      <c r="A10" s="8" t="s">
        <v>76</v>
      </c>
      <c r="B10" s="9">
        <v>0.73</v>
      </c>
      <c r="C10" s="9">
        <v>0.97</v>
      </c>
      <c r="D10" s="9">
        <f t="shared" ref="D10:D14" si="0">B10+C10</f>
        <v>1.7</v>
      </c>
      <c r="F10" s="16"/>
      <c r="G10" s="16"/>
      <c r="H10" s="16"/>
    </row>
    <row r="11" spans="1:8" x14ac:dyDescent="0.25">
      <c r="A11" s="8" t="s">
        <v>115</v>
      </c>
      <c r="B11" s="9">
        <v>0</v>
      </c>
      <c r="C11" s="9">
        <v>0.1</v>
      </c>
      <c r="D11" s="9">
        <f t="shared" si="0"/>
        <v>0.1</v>
      </c>
      <c r="F11" s="16"/>
      <c r="G11" s="16"/>
      <c r="H11" s="16"/>
    </row>
    <row r="12" spans="1:8" x14ac:dyDescent="0.25">
      <c r="A12" s="8" t="s">
        <v>5</v>
      </c>
      <c r="B12" s="9">
        <v>0</v>
      </c>
      <c r="C12" s="9">
        <f>SUM(D8:D10)*2%</f>
        <v>0.41199999999999998</v>
      </c>
      <c r="D12" s="9">
        <f t="shared" si="0"/>
        <v>0.41199999999999998</v>
      </c>
    </row>
    <row r="13" spans="1:8" s="74" customFormat="1" ht="30" x14ac:dyDescent="0.25">
      <c r="A13" s="80" t="s">
        <v>207</v>
      </c>
      <c r="B13" s="81">
        <v>0</v>
      </c>
      <c r="C13" s="81">
        <v>0.15</v>
      </c>
      <c r="D13" s="81">
        <f t="shared" si="0"/>
        <v>0.15</v>
      </c>
    </row>
    <row r="14" spans="1:8" x14ac:dyDescent="0.25">
      <c r="A14" s="8" t="s">
        <v>6</v>
      </c>
      <c r="B14" s="9">
        <v>0</v>
      </c>
      <c r="C14" s="9">
        <f>SUM('Bank Interest'!E18:E24)</f>
        <v>0.35775000000000001</v>
      </c>
      <c r="D14" s="9">
        <f t="shared" si="0"/>
        <v>0.35775000000000001</v>
      </c>
    </row>
    <row r="15" spans="1:8" x14ac:dyDescent="0.25">
      <c r="A15" s="8" t="s">
        <v>214</v>
      </c>
      <c r="B15" s="9">
        <v>0</v>
      </c>
      <c r="C15" s="9">
        <f>'WC GAP'!B10</f>
        <v>2.5</v>
      </c>
      <c r="D15" s="9">
        <f>B15+C15</f>
        <v>2.5</v>
      </c>
    </row>
    <row r="16" spans="1:8" ht="15.75" thickBot="1" x14ac:dyDescent="0.3">
      <c r="A16" s="10" t="s">
        <v>7</v>
      </c>
      <c r="B16" s="11">
        <f>SUM(B8:B15)</f>
        <v>8.16</v>
      </c>
      <c r="C16" s="11">
        <f>SUM(C8:C15)</f>
        <v>15.959750000000001</v>
      </c>
      <c r="D16" s="11">
        <f>SUM(D8:D15)</f>
        <v>24.119749999999996</v>
      </c>
    </row>
    <row r="17" spans="1:4" ht="17.25" customHeight="1" thickTop="1" x14ac:dyDescent="0.25">
      <c r="A17" s="10"/>
      <c r="B17" s="82"/>
      <c r="C17" s="82"/>
      <c r="D17" s="82"/>
    </row>
    <row r="18" spans="1:4" x14ac:dyDescent="0.25">
      <c r="A18" s="12"/>
      <c r="B18" s="13"/>
      <c r="C18" s="13"/>
      <c r="D18" s="13"/>
    </row>
    <row r="21" spans="1:4" x14ac:dyDescent="0.25">
      <c r="A21" s="2" t="s">
        <v>8</v>
      </c>
      <c r="C21" s="1" t="s">
        <v>201</v>
      </c>
    </row>
    <row r="22" spans="1:4" x14ac:dyDescent="0.25">
      <c r="A22" s="3" t="s">
        <v>1</v>
      </c>
      <c r="B22" s="3" t="s">
        <v>9</v>
      </c>
      <c r="C22" s="3" t="s">
        <v>10</v>
      </c>
      <c r="D22" s="3" t="s">
        <v>11</v>
      </c>
    </row>
    <row r="23" spans="1:4" x14ac:dyDescent="0.25">
      <c r="A23" s="8" t="s">
        <v>12</v>
      </c>
      <c r="B23" s="9">
        <v>8.16</v>
      </c>
      <c r="C23" s="9">
        <v>1.96</v>
      </c>
      <c r="D23" s="9">
        <f>B23+C23</f>
        <v>10.120000000000001</v>
      </c>
    </row>
    <row r="24" spans="1:4" x14ac:dyDescent="0.25">
      <c r="A24" s="8" t="s">
        <v>13</v>
      </c>
      <c r="B24" s="9">
        <v>0</v>
      </c>
      <c r="C24" s="9">
        <v>12</v>
      </c>
      <c r="D24" s="9">
        <f>SUM(B24:C24)</f>
        <v>12</v>
      </c>
    </row>
    <row r="25" spans="1:4" x14ac:dyDescent="0.25">
      <c r="A25" s="8" t="s">
        <v>97</v>
      </c>
      <c r="B25" s="9">
        <v>0</v>
      </c>
      <c r="C25" s="9">
        <v>2</v>
      </c>
      <c r="D25" s="9">
        <f>SUM(B25:C25)</f>
        <v>2</v>
      </c>
    </row>
    <row r="26" spans="1:4" ht="15.75" thickBot="1" x14ac:dyDescent="0.3">
      <c r="A26" s="8" t="s">
        <v>11</v>
      </c>
      <c r="B26" s="14">
        <f>SUM(B23:B25)</f>
        <v>8.16</v>
      </c>
      <c r="C26" s="14">
        <f>SUM(C23:C25)</f>
        <v>15.96</v>
      </c>
      <c r="D26" s="14">
        <f>SUM(D23:D25)</f>
        <v>24.12</v>
      </c>
    </row>
    <row r="27" spans="1:4" ht="15.75" thickTop="1" x14ac:dyDescent="0.25">
      <c r="A27" s="8"/>
      <c r="B27" s="8"/>
      <c r="C27" s="8"/>
      <c r="D27" s="8"/>
    </row>
    <row r="28" spans="1:4" x14ac:dyDescent="0.25">
      <c r="A28" s="12"/>
      <c r="B28" s="12"/>
      <c r="C28" s="12"/>
      <c r="D28" s="12"/>
    </row>
    <row r="30" spans="1:4" x14ac:dyDescent="0.25">
      <c r="A30" t="s">
        <v>213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9"/>
  <sheetViews>
    <sheetView tabSelected="1" workbookViewId="0">
      <pane ySplit="6" topLeftCell="A7" activePane="bottomLeft" state="frozen"/>
      <selection pane="bottomLeft" activeCell="O24" sqref="O24"/>
    </sheetView>
  </sheetViews>
  <sheetFormatPr defaultRowHeight="15" x14ac:dyDescent="0.25"/>
  <cols>
    <col min="1" max="1" width="72.7109375" customWidth="1"/>
    <col min="2" max="2" width="10" bestFit="1" customWidth="1"/>
    <col min="3" max="3" width="8.28515625" customWidth="1"/>
    <col min="4" max="4" width="9.42578125" customWidth="1"/>
    <col min="7" max="7" width="9" customWidth="1"/>
    <col min="10" max="10" width="7.28515625" customWidth="1"/>
  </cols>
  <sheetData>
    <row r="1" spans="1:9" x14ac:dyDescent="0.25">
      <c r="A1" s="114" t="s">
        <v>215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34" t="s">
        <v>49</v>
      </c>
      <c r="B3" s="34"/>
      <c r="C3" s="35" t="s">
        <v>203</v>
      </c>
      <c r="D3" s="35" t="s">
        <v>193</v>
      </c>
      <c r="E3" s="35" t="s">
        <v>194</v>
      </c>
      <c r="F3" s="35" t="s">
        <v>195</v>
      </c>
      <c r="G3" s="35" t="s">
        <v>196</v>
      </c>
      <c r="H3" s="35" t="s">
        <v>197</v>
      </c>
      <c r="I3" s="35" t="s">
        <v>198</v>
      </c>
    </row>
    <row r="4" spans="1:9" x14ac:dyDescent="0.25">
      <c r="A4" s="36" t="s">
        <v>50</v>
      </c>
      <c r="B4" s="34"/>
      <c r="C4" s="34">
        <v>7</v>
      </c>
      <c r="D4" s="34">
        <v>12</v>
      </c>
      <c r="E4" s="34">
        <v>12</v>
      </c>
      <c r="F4" s="34">
        <v>12</v>
      </c>
      <c r="G4" s="34">
        <v>12</v>
      </c>
      <c r="H4" s="34">
        <v>12</v>
      </c>
      <c r="I4" s="34">
        <v>12</v>
      </c>
    </row>
    <row r="5" spans="1:9" x14ac:dyDescent="0.25">
      <c r="A5" s="36"/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6" t="s">
        <v>217</v>
      </c>
      <c r="B6" s="34"/>
      <c r="C6" s="37">
        <v>0.5</v>
      </c>
      <c r="D6" s="37">
        <v>0.55000000000000004</v>
      </c>
      <c r="E6" s="37">
        <v>0.65</v>
      </c>
      <c r="F6" s="37">
        <v>0.7</v>
      </c>
      <c r="G6" s="37">
        <v>0.75</v>
      </c>
      <c r="H6" s="37">
        <v>0.8</v>
      </c>
      <c r="I6" s="37">
        <v>0.85</v>
      </c>
    </row>
    <row r="7" spans="1:9" x14ac:dyDescent="0.25">
      <c r="A7" s="38"/>
      <c r="B7" s="39"/>
      <c r="C7" s="39"/>
      <c r="D7" s="39"/>
      <c r="E7" s="39"/>
      <c r="F7" s="39"/>
      <c r="G7" s="39"/>
      <c r="H7" s="39"/>
      <c r="I7" s="39"/>
    </row>
    <row r="8" spans="1:9" x14ac:dyDescent="0.25">
      <c r="A8" s="40" t="s">
        <v>223</v>
      </c>
      <c r="B8" s="40"/>
      <c r="C8" s="43">
        <f>(Assumptions!D14*C4*C6)/10000000</f>
        <v>4.4152500000000003</v>
      </c>
      <c r="D8" s="43">
        <f>(Assumptions!D14*D4*D6)/10000000</f>
        <v>8.3259000000000007</v>
      </c>
      <c r="E8" s="43">
        <f>(Assumptions!D14*E4*E6)/10000000</f>
        <v>9.8397000000000006</v>
      </c>
      <c r="F8" s="43">
        <f>(Assumptions!D14*F4*F6)/10000000</f>
        <v>10.5966</v>
      </c>
      <c r="G8" s="43">
        <f>(Assumptions!D14*G4*G6)/10000000</f>
        <v>11.3535</v>
      </c>
      <c r="H8" s="43">
        <f>(Assumptions!D14*H4*H6)/10000000</f>
        <v>12.1104</v>
      </c>
      <c r="I8" s="43">
        <f>(Assumptions!D14*I4*I6)/10000000</f>
        <v>12.8673</v>
      </c>
    </row>
    <row r="9" spans="1:9" x14ac:dyDescent="0.25">
      <c r="A9" s="40" t="s">
        <v>227</v>
      </c>
      <c r="B9" s="40"/>
      <c r="C9" s="43">
        <f>(Assumptions!H71*'Project Details'!C4*'Project Details'!C6)/10000000</f>
        <v>9.9249893596874994</v>
      </c>
      <c r="D9" s="43">
        <f>(Assumptions!H71*'Project Details'!D4*'Project Details'!D6)/10000000</f>
        <v>18.715694221125005</v>
      </c>
      <c r="E9" s="43">
        <f>(Assumptions!H71*'Project Details'!E4*'Project Details'!E6)/10000000</f>
        <v>22.118547715875003</v>
      </c>
      <c r="F9" s="43">
        <f>(Assumptions!H71*'Project Details'!F4*'Project Details'!F6)/10000000</f>
        <v>23.819974463249999</v>
      </c>
      <c r="G9" s="43">
        <f>(Assumptions!H71*'Project Details'!G4*'Project Details'!G6)/10000000</f>
        <v>25.521401210625001</v>
      </c>
      <c r="H9" s="43">
        <f>(Assumptions!H71*'Project Details'!H4*'Project Details'!H6)/10000000</f>
        <v>27.222827958000003</v>
      </c>
      <c r="I9" s="43">
        <f>(Assumptions!H71*'Project Details'!I4*'Project Details'!I6)/10000000</f>
        <v>28.924254705375002</v>
      </c>
    </row>
    <row r="10" spans="1:9" x14ac:dyDescent="0.25">
      <c r="A10" s="40" t="s">
        <v>228</v>
      </c>
      <c r="B10" s="40"/>
      <c r="C10" s="43">
        <f>Assumptions!B83*'Project Details'!C6*C4/12/10000000</f>
        <v>0.65590000000000004</v>
      </c>
      <c r="D10" s="43">
        <f>Assumptions!B83*'Project Details'!D6/10000000</f>
        <v>1.2368400000000002</v>
      </c>
      <c r="E10" s="43">
        <f>Assumptions!B83*'Project Details'!E6/10000000</f>
        <v>1.4617199999999999</v>
      </c>
      <c r="F10" s="43">
        <f>Assumptions!B83*'Project Details'!F6/10000000</f>
        <v>1.5741599999999998</v>
      </c>
      <c r="G10" s="43">
        <f>Assumptions!B83*'Project Details'!G6/10000000</f>
        <v>1.6866000000000001</v>
      </c>
      <c r="H10" s="43">
        <f>Assumptions!B83*'Project Details'!H6/10000000</f>
        <v>1.79904</v>
      </c>
      <c r="I10" s="43">
        <f>Assumptions!B83*'Project Details'!I6/10000000</f>
        <v>1.9114800000000001</v>
      </c>
    </row>
    <row r="11" spans="1:9" x14ac:dyDescent="0.25">
      <c r="A11" s="40"/>
      <c r="B11" s="40"/>
      <c r="C11" s="43"/>
      <c r="D11" s="43"/>
      <c r="E11" s="43"/>
      <c r="F11" s="43"/>
      <c r="G11" s="43"/>
      <c r="H11" s="43"/>
      <c r="I11" s="43"/>
    </row>
    <row r="12" spans="1:9" x14ac:dyDescent="0.25">
      <c r="A12" s="38"/>
      <c r="B12" s="38"/>
      <c r="C12" s="44"/>
      <c r="D12" s="44"/>
      <c r="E12" s="44"/>
      <c r="F12" s="44"/>
      <c r="G12" s="44"/>
      <c r="H12" s="44"/>
      <c r="I12" s="44"/>
    </row>
    <row r="13" spans="1:9" x14ac:dyDescent="0.25">
      <c r="A13" s="45" t="s">
        <v>51</v>
      </c>
      <c r="B13" s="45"/>
      <c r="C13" s="46">
        <f>SUM(C8:C10)</f>
        <v>14.996139359687501</v>
      </c>
      <c r="D13" s="46">
        <f t="shared" ref="D13:I13" si="0">SUM(D8:D10)</f>
        <v>28.278434221125007</v>
      </c>
      <c r="E13" s="46">
        <f t="shared" si="0"/>
        <v>33.419967715875003</v>
      </c>
      <c r="F13" s="46">
        <f t="shared" si="0"/>
        <v>35.99073446325</v>
      </c>
      <c r="G13" s="46">
        <f t="shared" si="0"/>
        <v>38.561501210624996</v>
      </c>
      <c r="H13" s="46">
        <f t="shared" si="0"/>
        <v>41.132267958</v>
      </c>
      <c r="I13" s="46">
        <f t="shared" si="0"/>
        <v>43.703034705375003</v>
      </c>
    </row>
    <row r="14" spans="1:9" x14ac:dyDescent="0.25">
      <c r="A14" s="38"/>
      <c r="B14" s="38"/>
      <c r="C14" s="44"/>
      <c r="D14" s="44"/>
      <c r="E14" s="44"/>
      <c r="F14" s="44"/>
      <c r="G14" s="44"/>
      <c r="H14" s="44"/>
      <c r="I14" s="44"/>
    </row>
    <row r="15" spans="1:9" x14ac:dyDescent="0.25">
      <c r="A15" s="47" t="s">
        <v>52</v>
      </c>
      <c r="B15" s="40"/>
      <c r="C15" s="43"/>
      <c r="D15" s="43"/>
      <c r="E15" s="43"/>
      <c r="F15" s="43"/>
      <c r="G15" s="43"/>
      <c r="H15" s="43"/>
      <c r="I15" s="43"/>
    </row>
    <row r="16" spans="1:9" x14ac:dyDescent="0.25">
      <c r="A16" s="40" t="s">
        <v>283</v>
      </c>
      <c r="B16" s="40"/>
      <c r="C16" s="43">
        <v>0.79</v>
      </c>
      <c r="D16" s="43">
        <v>0.87</v>
      </c>
      <c r="E16" s="43">
        <v>0.92</v>
      </c>
      <c r="F16" s="43">
        <v>0.97</v>
      </c>
      <c r="G16" s="43">
        <v>1.02</v>
      </c>
      <c r="H16" s="43">
        <v>1.1100000000000001</v>
      </c>
      <c r="I16" s="43">
        <v>1.22</v>
      </c>
    </row>
    <row r="17" spans="1:12" x14ac:dyDescent="0.25">
      <c r="A17" s="40" t="s">
        <v>371</v>
      </c>
      <c r="B17" s="42">
        <v>0.55000000000000004</v>
      </c>
      <c r="C17" s="43">
        <f>C9*B17</f>
        <v>5.4587441478281251</v>
      </c>
      <c r="D17" s="43">
        <f>D9*B17</f>
        <v>10.293631821618753</v>
      </c>
      <c r="E17" s="43">
        <f>E9*B17</f>
        <v>12.165201243731254</v>
      </c>
      <c r="F17" s="43">
        <f>F9*B17</f>
        <v>13.1009859547875</v>
      </c>
      <c r="G17" s="43">
        <f>G9*B17</f>
        <v>14.036770665843752</v>
      </c>
      <c r="H17" s="43">
        <f>H9*B17</f>
        <v>14.972555376900003</v>
      </c>
      <c r="I17" s="43">
        <f>I9*B17</f>
        <v>15.908340087956253</v>
      </c>
    </row>
    <row r="18" spans="1:12" x14ac:dyDescent="0.25">
      <c r="A18" s="40" t="s">
        <v>286</v>
      </c>
      <c r="B18" s="42">
        <v>0.3</v>
      </c>
      <c r="C18" s="43">
        <f>C10*B18</f>
        <v>0.19677</v>
      </c>
      <c r="D18" s="43">
        <f>D10*B18</f>
        <v>0.37105200000000005</v>
      </c>
      <c r="E18" s="43">
        <f>E10*B18</f>
        <v>0.43851599999999996</v>
      </c>
      <c r="F18" s="43">
        <f>F10*B18</f>
        <v>0.47224799999999989</v>
      </c>
      <c r="G18" s="43">
        <f>G10*B18</f>
        <v>0.50597999999999999</v>
      </c>
      <c r="H18" s="43">
        <f>H10*B18</f>
        <v>0.53971199999999997</v>
      </c>
      <c r="I18" s="43">
        <f>I10*B18</f>
        <v>0.57344399999999995</v>
      </c>
    </row>
    <row r="19" spans="1:12" x14ac:dyDescent="0.25">
      <c r="A19" s="40" t="s">
        <v>287</v>
      </c>
      <c r="B19" s="42">
        <v>0.2</v>
      </c>
      <c r="C19" s="43">
        <f>C8*B19</f>
        <v>0.88305000000000011</v>
      </c>
      <c r="D19" s="43">
        <f>D8*B19</f>
        <v>1.6651800000000003</v>
      </c>
      <c r="E19" s="43">
        <f>E8*B19</f>
        <v>1.9679400000000002</v>
      </c>
      <c r="F19" s="43">
        <f>F8*B19</f>
        <v>2.1193200000000001</v>
      </c>
      <c r="G19" s="43">
        <f>G8*B19</f>
        <v>2.2707000000000002</v>
      </c>
      <c r="H19" s="43">
        <f>H8*B19</f>
        <v>2.4220800000000002</v>
      </c>
      <c r="I19" s="43">
        <f>I8*B19</f>
        <v>2.5734600000000003</v>
      </c>
    </row>
    <row r="20" spans="1:12" x14ac:dyDescent="0.25">
      <c r="A20" s="40" t="s">
        <v>288</v>
      </c>
      <c r="B20" s="42">
        <v>0.2</v>
      </c>
      <c r="C20" s="43">
        <f>C13*B20</f>
        <v>2.9992278719375003</v>
      </c>
      <c r="D20" s="43">
        <f>D13*B20</f>
        <v>5.6556868442250021</v>
      </c>
      <c r="E20" s="43">
        <f>E13*B20</f>
        <v>6.6839935431750011</v>
      </c>
      <c r="F20" s="43">
        <f>F13*B20</f>
        <v>7.1981468926500005</v>
      </c>
      <c r="G20" s="43">
        <f>G13*B20</f>
        <v>7.712300242125</v>
      </c>
      <c r="H20" s="43">
        <f>H13*B20</f>
        <v>8.2264535916000003</v>
      </c>
      <c r="I20" s="43">
        <f>I13*B20</f>
        <v>8.7406069410750007</v>
      </c>
    </row>
    <row r="21" spans="1:12" x14ac:dyDescent="0.25">
      <c r="A21" s="40" t="s">
        <v>78</v>
      </c>
      <c r="B21" s="59">
        <v>0.05</v>
      </c>
      <c r="C21" s="48">
        <f>C13*B21</f>
        <v>0.74980696798437507</v>
      </c>
      <c r="D21" s="48">
        <f>D13*B21</f>
        <v>1.4139217110562505</v>
      </c>
      <c r="E21" s="48">
        <f>E13*B21</f>
        <v>1.6709983857937503</v>
      </c>
      <c r="F21" s="48">
        <f>F13*B21</f>
        <v>1.7995367231625001</v>
      </c>
      <c r="G21" s="48">
        <f>G13*B21</f>
        <v>1.92807506053125</v>
      </c>
      <c r="H21" s="48">
        <f>H13*B21</f>
        <v>2.0566133979000001</v>
      </c>
      <c r="I21" s="48">
        <f>I13*B21</f>
        <v>2.1851517352687502</v>
      </c>
      <c r="L21" s="1"/>
    </row>
    <row r="22" spans="1:12" x14ac:dyDescent="0.25">
      <c r="A22" s="40" t="s">
        <v>79</v>
      </c>
      <c r="B22" s="59">
        <v>7.4999999999999997E-2</v>
      </c>
      <c r="C22" s="48">
        <f>C13*B22</f>
        <v>1.1247104519765625</v>
      </c>
      <c r="D22" s="48">
        <f>D13*B22</f>
        <v>2.1208825665843754</v>
      </c>
      <c r="E22" s="48">
        <f>E13*B22</f>
        <v>2.5064975786906252</v>
      </c>
      <c r="F22" s="48">
        <f>F13*B22</f>
        <v>2.6993050847437501</v>
      </c>
      <c r="G22" s="48">
        <f>G13*B22</f>
        <v>2.8921125907968745</v>
      </c>
      <c r="H22" s="48">
        <f>H13*B22</f>
        <v>3.0849200968499999</v>
      </c>
      <c r="I22" s="48">
        <f>I13*B22</f>
        <v>3.2777276029031253</v>
      </c>
    </row>
    <row r="23" spans="1:12" x14ac:dyDescent="0.25">
      <c r="A23" s="40" t="s">
        <v>80</v>
      </c>
      <c r="B23" s="59">
        <v>0.01</v>
      </c>
      <c r="C23" s="48">
        <f>C13*B23</f>
        <v>0.14996139359687502</v>
      </c>
      <c r="D23" s="48">
        <f>D13*B23</f>
        <v>0.28278434221125009</v>
      </c>
      <c r="E23" s="48">
        <f>E13*B23</f>
        <v>0.33419967715875004</v>
      </c>
      <c r="F23" s="48">
        <f>F13*B23</f>
        <v>0.35990734463250001</v>
      </c>
      <c r="G23" s="48">
        <f>G13*B23</f>
        <v>0.38561501210624999</v>
      </c>
      <c r="H23" s="48">
        <f>H13*B23</f>
        <v>0.41132267958000002</v>
      </c>
      <c r="I23" s="48">
        <f>I13*B23</f>
        <v>0.43703034705375005</v>
      </c>
    </row>
    <row r="24" spans="1:12" x14ac:dyDescent="0.25">
      <c r="A24" s="40" t="s">
        <v>285</v>
      </c>
      <c r="B24" s="79">
        <v>0.01</v>
      </c>
      <c r="C24" s="48">
        <f>Dep!C18*B24</f>
        <v>0.10037499999999999</v>
      </c>
      <c r="D24" s="48">
        <f>Dep!D18*B24</f>
        <v>8.5318749999999999E-2</v>
      </c>
      <c r="E24" s="48">
        <f>Dep!E18*B24</f>
        <v>7.2520937499999993E-2</v>
      </c>
      <c r="F24" s="48">
        <f>Dep!F18*B24</f>
        <v>6.1642796874999996E-2</v>
      </c>
      <c r="G24" s="48">
        <f>Dep!G18*B24</f>
        <v>5.2396377343750002E-2</v>
      </c>
      <c r="H24" s="48">
        <f>Dep!H18*B24</f>
        <v>4.4536920742187507E-2</v>
      </c>
      <c r="I24" s="48">
        <f>Dep!I18*B24</f>
        <v>3.785638263085938E-2</v>
      </c>
    </row>
    <row r="25" spans="1:12" x14ac:dyDescent="0.25">
      <c r="A25" s="40" t="s">
        <v>53</v>
      </c>
      <c r="B25" s="42">
        <v>0.01</v>
      </c>
      <c r="C25" s="48">
        <f>Dep!C20*'Project Details'!B25/12*7</f>
        <v>0.11551369618055554</v>
      </c>
      <c r="D25" s="48">
        <f>Dep!D20*'Project Details'!B25</f>
        <v>0.17320238125000001</v>
      </c>
      <c r="E25" s="48">
        <f>Dep!E20*'Project Details'!B25</f>
        <v>0.151616205625</v>
      </c>
      <c r="F25" s="48">
        <f>Dep!F20*'Project Details'!B25</f>
        <v>0.13282853818750001</v>
      </c>
      <c r="G25" s="48">
        <f>Dep!G20*'Project Details'!B25</f>
        <v>0.116463544525</v>
      </c>
      <c r="H25" s="48">
        <f>Dep!H20*'Project Details'!B25</f>
        <v>0.10219737120531251</v>
      </c>
      <c r="I25" s="48">
        <f>Dep!I20*'Project Details'!B25</f>
        <v>8.9750788047671878E-2</v>
      </c>
    </row>
    <row r="26" spans="1:12" x14ac:dyDescent="0.25">
      <c r="A26" s="40" t="s">
        <v>54</v>
      </c>
      <c r="B26" s="49" t="s">
        <v>55</v>
      </c>
      <c r="C26" s="48">
        <f>(Dep!C5)*B26/12*7</f>
        <v>9.6340416666666658E-3</v>
      </c>
      <c r="D26" s="48">
        <f>(Dep!D5)*B26</f>
        <v>1.6515499999999999E-2</v>
      </c>
      <c r="E26" s="48">
        <f>(Dep!E5)*B26</f>
        <v>1.6515499999999999E-2</v>
      </c>
      <c r="F26" s="48">
        <f>(Dep!F5)*B26</f>
        <v>1.6515499999999999E-2</v>
      </c>
      <c r="G26" s="48">
        <f>(Dep!G5)*B26</f>
        <v>1.6515499999999999E-2</v>
      </c>
      <c r="H26" s="48">
        <f>(Dep!H5)*B26</f>
        <v>1.6515499999999999E-2</v>
      </c>
      <c r="I26" s="48">
        <f>(Dep!I5)*B26</f>
        <v>1.6515499999999999E-2</v>
      </c>
    </row>
    <row r="27" spans="1:12" x14ac:dyDescent="0.25">
      <c r="A27" s="40" t="s">
        <v>56</v>
      </c>
      <c r="B27" s="42">
        <v>0.01</v>
      </c>
      <c r="C27" s="48">
        <f>B27*Dep!C20/12*7</f>
        <v>0.11551369618055554</v>
      </c>
      <c r="D27" s="48">
        <f>B27*Dep!D20</f>
        <v>0.17320238125000001</v>
      </c>
      <c r="E27" s="48">
        <f>B27*Dep!E20</f>
        <v>0.151616205625</v>
      </c>
      <c r="F27" s="48">
        <f>B27*Dep!F20</f>
        <v>0.13282853818750001</v>
      </c>
      <c r="G27" s="48">
        <f>B27*Dep!G20</f>
        <v>0.116463544525</v>
      </c>
      <c r="H27" s="48">
        <f>B27*Dep!H20</f>
        <v>0.10219737120531251</v>
      </c>
      <c r="I27" s="48">
        <f>B27*Dep!I20</f>
        <v>8.9750788047671878E-2</v>
      </c>
    </row>
    <row r="28" spans="1:12" x14ac:dyDescent="0.25">
      <c r="A28" s="38"/>
      <c r="B28" s="39"/>
      <c r="C28" s="44"/>
      <c r="D28" s="44"/>
      <c r="E28" s="44"/>
      <c r="F28" s="44"/>
      <c r="G28" s="44"/>
      <c r="H28" s="44"/>
      <c r="I28" s="44"/>
    </row>
    <row r="29" spans="1:12" x14ac:dyDescent="0.25">
      <c r="A29" s="45" t="s">
        <v>57</v>
      </c>
      <c r="B29" s="50"/>
      <c r="C29" s="51">
        <f>SUM(C16:C27)</f>
        <v>12.693307267351214</v>
      </c>
      <c r="D29" s="51">
        <f t="shared" ref="D29:I29" si="1">SUM(D16:D27)</f>
        <v>23.12137829819563</v>
      </c>
      <c r="E29" s="51">
        <f t="shared" si="1"/>
        <v>27.079615277299379</v>
      </c>
      <c r="F29" s="51">
        <f t="shared" si="1"/>
        <v>29.063265373226251</v>
      </c>
      <c r="G29" s="51">
        <f t="shared" si="1"/>
        <v>31.053392537796878</v>
      </c>
      <c r="H29" s="51">
        <f t="shared" si="1"/>
        <v>33.089104305982822</v>
      </c>
      <c r="I29" s="51">
        <f t="shared" si="1"/>
        <v>35.149634172983077</v>
      </c>
    </row>
    <row r="30" spans="1:12" x14ac:dyDescent="0.25">
      <c r="A30" s="38"/>
      <c r="B30" s="39"/>
      <c r="C30" s="44"/>
      <c r="D30" s="44"/>
      <c r="E30" s="44"/>
      <c r="F30" s="44"/>
      <c r="G30" s="44"/>
      <c r="H30" s="44"/>
      <c r="I30" s="44"/>
    </row>
    <row r="31" spans="1:12" x14ac:dyDescent="0.25">
      <c r="A31" s="36" t="s">
        <v>58</v>
      </c>
      <c r="B31" s="34"/>
      <c r="C31" s="52">
        <f t="shared" ref="C31:I31" si="2">C29/C13</f>
        <v>0.84643833742124719</v>
      </c>
      <c r="D31" s="52">
        <f>D29/D13</f>
        <v>0.81763290419110723</v>
      </c>
      <c r="E31" s="52">
        <f t="shared" si="2"/>
        <v>0.8102825085745412</v>
      </c>
      <c r="F31" s="52">
        <f t="shared" si="2"/>
        <v>0.80752076351491631</v>
      </c>
      <c r="G31" s="52">
        <f t="shared" si="2"/>
        <v>0.80529521836252105</v>
      </c>
      <c r="H31" s="52">
        <f t="shared" si="2"/>
        <v>0.80445611070534639</v>
      </c>
      <c r="I31" s="52">
        <f t="shared" si="2"/>
        <v>0.80428360204148597</v>
      </c>
    </row>
    <row r="32" spans="1:12" x14ac:dyDescent="0.25">
      <c r="A32" s="36"/>
      <c r="B32" s="34"/>
      <c r="C32" s="53"/>
      <c r="D32" s="53"/>
      <c r="E32" s="53"/>
      <c r="F32" s="53"/>
      <c r="G32" s="53"/>
      <c r="H32" s="53"/>
      <c r="I32" s="53"/>
    </row>
    <row r="33" spans="1:9" x14ac:dyDescent="0.25">
      <c r="A33" s="36" t="s">
        <v>59</v>
      </c>
      <c r="B33" s="34"/>
      <c r="C33" s="53">
        <f t="shared" ref="C33:I33" si="3">C13-C29</f>
        <v>2.3028320923362866</v>
      </c>
      <c r="D33" s="53">
        <f t="shared" si="3"/>
        <v>5.1570559229293771</v>
      </c>
      <c r="E33" s="53">
        <f t="shared" si="3"/>
        <v>6.3403524385756249</v>
      </c>
      <c r="F33" s="53">
        <f t="shared" si="3"/>
        <v>6.9274690900237488</v>
      </c>
      <c r="G33" s="53">
        <f t="shared" si="3"/>
        <v>7.5081086728281186</v>
      </c>
      <c r="H33" s="53">
        <f t="shared" si="3"/>
        <v>8.0431636520171779</v>
      </c>
      <c r="I33" s="53">
        <f t="shared" si="3"/>
        <v>8.553400532391926</v>
      </c>
    </row>
    <row r="34" spans="1:9" x14ac:dyDescent="0.25">
      <c r="A34" s="36"/>
      <c r="B34" s="34"/>
      <c r="C34" s="53"/>
      <c r="D34" s="53"/>
      <c r="E34" s="53"/>
      <c r="F34" s="53"/>
      <c r="G34" s="53"/>
      <c r="H34" s="53"/>
      <c r="I34" s="53"/>
    </row>
    <row r="35" spans="1:9" x14ac:dyDescent="0.25">
      <c r="A35" s="36" t="s">
        <v>60</v>
      </c>
      <c r="B35" s="34"/>
      <c r="C35" s="52">
        <f t="shared" ref="C35:I35" si="4">C33/C13</f>
        <v>0.15356166257875284</v>
      </c>
      <c r="D35" s="52">
        <f t="shared" si="4"/>
        <v>0.18236709580889279</v>
      </c>
      <c r="E35" s="52">
        <f t="shared" si="4"/>
        <v>0.18971749142545877</v>
      </c>
      <c r="F35" s="52">
        <f t="shared" si="4"/>
        <v>0.19247923648508369</v>
      </c>
      <c r="G35" s="52">
        <f t="shared" si="4"/>
        <v>0.1947047816374789</v>
      </c>
      <c r="H35" s="52">
        <f t="shared" si="4"/>
        <v>0.19554388929465355</v>
      </c>
      <c r="I35" s="52">
        <f t="shared" si="4"/>
        <v>0.19571639795851406</v>
      </c>
    </row>
    <row r="36" spans="1:9" x14ac:dyDescent="0.25">
      <c r="A36" s="36"/>
      <c r="B36" s="34"/>
      <c r="C36" s="53"/>
      <c r="D36" s="53"/>
      <c r="E36" s="53"/>
      <c r="F36" s="53"/>
      <c r="G36" s="53"/>
      <c r="H36" s="53"/>
      <c r="I36" s="53"/>
    </row>
    <row r="37" spans="1:9" x14ac:dyDescent="0.25">
      <c r="A37" s="36" t="s">
        <v>61</v>
      </c>
      <c r="B37" s="34"/>
      <c r="C37" s="53">
        <f>C33</f>
        <v>2.3028320923362866</v>
      </c>
      <c r="D37" s="53">
        <f t="shared" ref="D37:H37" si="5">D33</f>
        <v>5.1570559229293771</v>
      </c>
      <c r="E37" s="53">
        <f t="shared" si="5"/>
        <v>6.3403524385756249</v>
      </c>
      <c r="F37" s="53">
        <f t="shared" si="5"/>
        <v>6.9274690900237488</v>
      </c>
      <c r="G37" s="53">
        <f t="shared" si="5"/>
        <v>7.5081086728281186</v>
      </c>
      <c r="H37" s="53">
        <f t="shared" si="5"/>
        <v>8.0431636520171779</v>
      </c>
      <c r="I37" s="53">
        <f t="shared" ref="I37" si="6">I33</f>
        <v>8.553400532391926</v>
      </c>
    </row>
    <row r="38" spans="1:9" x14ac:dyDescent="0.25">
      <c r="A38" s="38"/>
      <c r="B38" s="39"/>
      <c r="C38" s="54"/>
      <c r="D38" s="54"/>
      <c r="E38" s="54"/>
      <c r="F38" s="54"/>
      <c r="G38" s="54"/>
      <c r="H38" s="54"/>
      <c r="I38" s="54"/>
    </row>
    <row r="39" spans="1:9" x14ac:dyDescent="0.25">
      <c r="A39" s="40" t="s">
        <v>62</v>
      </c>
      <c r="B39" s="41"/>
      <c r="C39" s="43">
        <f>SUM('Bank Interest'!E25:E31)</f>
        <v>0.55649999999999999</v>
      </c>
      <c r="D39" s="43">
        <f>'Bank Interest'!K43</f>
        <v>0.91027500000000028</v>
      </c>
      <c r="E39" s="43">
        <f>'Bank Interest'!K55</f>
        <v>0.80613000000000068</v>
      </c>
      <c r="F39" s="43">
        <f>'Bank Interest'!K67</f>
        <v>0.67853250000000098</v>
      </c>
      <c r="G39" s="43">
        <f>'Bank Interest'!K79</f>
        <v>0.55113750000000095</v>
      </c>
      <c r="H39" s="43">
        <f>'Bank Interest'!K91</f>
        <v>0.47300000000000131</v>
      </c>
      <c r="I39" s="43">
        <f>'Bank Interest'!K103</f>
        <v>0.17875000000000119</v>
      </c>
    </row>
    <row r="40" spans="1:9" x14ac:dyDescent="0.25">
      <c r="A40" s="40" t="s">
        <v>98</v>
      </c>
      <c r="B40" s="41"/>
      <c r="C40" s="43">
        <f>'Bank Interest'!E114*C4/12</f>
        <v>9.2749999999999999E-2</v>
      </c>
      <c r="D40" s="43">
        <f>'Bank Interest'!E114</f>
        <v>0.159</v>
      </c>
      <c r="E40" s="43">
        <f>'Bank Interest'!E114</f>
        <v>0.159</v>
      </c>
      <c r="F40" s="43">
        <f>'Bank Interest'!E114</f>
        <v>0.159</v>
      </c>
      <c r="G40" s="43">
        <f>'Bank Interest'!E114</f>
        <v>0.159</v>
      </c>
      <c r="H40" s="43">
        <f>'Bank Interest'!E115</f>
        <v>0.22</v>
      </c>
      <c r="I40" s="43">
        <f>'Bank Interest'!E115</f>
        <v>0.22</v>
      </c>
    </row>
    <row r="41" spans="1:9" x14ac:dyDescent="0.25">
      <c r="A41" s="40" t="s">
        <v>63</v>
      </c>
      <c r="B41" s="41"/>
      <c r="C41" s="43">
        <f>C37-C39-C40</f>
        <v>1.6535820923362867</v>
      </c>
      <c r="D41" s="43">
        <f t="shared" ref="D41:H41" si="7">D37-D39-D40</f>
        <v>4.0877809229293769</v>
      </c>
      <c r="E41" s="43">
        <f t="shared" si="7"/>
        <v>5.3752224385756247</v>
      </c>
      <c r="F41" s="43">
        <f t="shared" si="7"/>
        <v>6.0899365900237479</v>
      </c>
      <c r="G41" s="43">
        <f t="shared" si="7"/>
        <v>6.7979711728281176</v>
      </c>
      <c r="H41" s="43">
        <f t="shared" si="7"/>
        <v>7.3501636520171765</v>
      </c>
      <c r="I41" s="43">
        <f>I37-I39-I40</f>
        <v>8.1546505323919245</v>
      </c>
    </row>
    <row r="42" spans="1:9" x14ac:dyDescent="0.25">
      <c r="A42" s="40" t="s">
        <v>45</v>
      </c>
      <c r="B42" s="41"/>
      <c r="C42" s="43">
        <f>(Dep!C14)</f>
        <v>1.5674020833333333</v>
      </c>
      <c r="D42" s="43">
        <f>Dep!D14</f>
        <v>2.4821097916666668</v>
      </c>
      <c r="E42" s="43">
        <f>Dep!E14</f>
        <v>2.1586175624999999</v>
      </c>
      <c r="F42" s="43">
        <f>Dep!F14</f>
        <v>1.87876674375</v>
      </c>
      <c r="G42" s="43">
        <f>Dep!G14</f>
        <v>1.63649936625</v>
      </c>
      <c r="H42" s="43">
        <f>Dep!H14</f>
        <v>1.4266173319687503</v>
      </c>
      <c r="I42" s="43">
        <f>Dep!I14</f>
        <v>1.2446583157640625</v>
      </c>
    </row>
    <row r="43" spans="1:9" x14ac:dyDescent="0.25">
      <c r="A43" s="40" t="s">
        <v>64</v>
      </c>
      <c r="B43" s="41"/>
      <c r="C43" s="43">
        <f t="shared" ref="C43:E43" si="8">C41-C42</f>
        <v>8.6180009002953417E-2</v>
      </c>
      <c r="D43" s="43">
        <f t="shared" si="8"/>
        <v>1.6056711312627101</v>
      </c>
      <c r="E43" s="43">
        <f t="shared" si="8"/>
        <v>3.2166048760756247</v>
      </c>
      <c r="F43" s="43">
        <f>F41-F42</f>
        <v>4.2111698462737479</v>
      </c>
      <c r="G43" s="43">
        <f t="shared" ref="G43:I43" si="9">G41-G42</f>
        <v>5.1614718065781178</v>
      </c>
      <c r="H43" s="43">
        <f t="shared" si="9"/>
        <v>5.923546320048426</v>
      </c>
      <c r="I43" s="43">
        <f t="shared" si="9"/>
        <v>6.9099922166278622</v>
      </c>
    </row>
    <row r="44" spans="1:9" x14ac:dyDescent="0.25">
      <c r="A44" s="40" t="s">
        <v>65</v>
      </c>
      <c r="B44" s="41"/>
      <c r="C44" s="43">
        <v>0.02</v>
      </c>
      <c r="D44" s="43">
        <v>0.02</v>
      </c>
      <c r="E44" s="43">
        <v>0.02</v>
      </c>
      <c r="F44" s="43">
        <v>0.02</v>
      </c>
      <c r="G44" s="43">
        <v>0.02</v>
      </c>
      <c r="H44" s="43">
        <f>Dep!H16</f>
        <v>0</v>
      </c>
      <c r="I44" s="43">
        <v>0</v>
      </c>
    </row>
    <row r="45" spans="1:9" x14ac:dyDescent="0.25">
      <c r="A45" s="40" t="s">
        <v>66</v>
      </c>
      <c r="B45" s="41"/>
      <c r="C45" s="43">
        <f>C43-C44</f>
        <v>6.6180009002953413E-2</v>
      </c>
      <c r="D45" s="43">
        <f t="shared" ref="D45:I45" si="10">D43-D44</f>
        <v>1.5856711312627101</v>
      </c>
      <c r="E45" s="43">
        <f t="shared" si="10"/>
        <v>3.1966048760756247</v>
      </c>
      <c r="F45" s="43">
        <f t="shared" si="10"/>
        <v>4.1911698462737483</v>
      </c>
      <c r="G45" s="43">
        <f t="shared" si="10"/>
        <v>5.1414718065781182</v>
      </c>
      <c r="H45" s="43">
        <f t="shared" si="10"/>
        <v>5.923546320048426</v>
      </c>
      <c r="I45" s="43">
        <f t="shared" si="10"/>
        <v>6.9099922166278622</v>
      </c>
    </row>
    <row r="46" spans="1:9" x14ac:dyDescent="0.25">
      <c r="A46" s="40" t="s">
        <v>67</v>
      </c>
      <c r="B46" s="41"/>
      <c r="C46" s="43">
        <f>C45*30%</f>
        <v>1.9854002700886022E-2</v>
      </c>
      <c r="D46" s="43">
        <f t="shared" ref="D46:E46" si="11">D45*30%</f>
        <v>0.47570133937881298</v>
      </c>
      <c r="E46" s="43">
        <f t="shared" si="11"/>
        <v>0.95898146282268737</v>
      </c>
      <c r="F46" s="43">
        <f t="shared" ref="F46" si="12">F45*30%</f>
        <v>1.2573509538821244</v>
      </c>
      <c r="G46" s="43">
        <f t="shared" ref="G46" si="13">G45*30%</f>
        <v>1.5424415419734354</v>
      </c>
      <c r="H46" s="43">
        <f t="shared" ref="H46" si="14">H45*30%</f>
        <v>1.7770638960145277</v>
      </c>
      <c r="I46" s="43">
        <f t="shared" ref="I46" si="15">I45*30%</f>
        <v>2.0729976649883586</v>
      </c>
    </row>
    <row r="47" spans="1:9" x14ac:dyDescent="0.25">
      <c r="A47" s="40" t="s">
        <v>68</v>
      </c>
      <c r="B47" s="41"/>
      <c r="C47" s="43">
        <f t="shared" ref="C47:D47" si="16">C45-C46</f>
        <v>4.6326006302067388E-2</v>
      </c>
      <c r="D47" s="43">
        <f t="shared" si="16"/>
        <v>1.1099697918838971</v>
      </c>
      <c r="E47" s="43">
        <f t="shared" ref="E47" si="17">E45-E46</f>
        <v>2.2376234132529373</v>
      </c>
      <c r="F47" s="43">
        <f t="shared" ref="F47" si="18">F45-F46</f>
        <v>2.9338188923916242</v>
      </c>
      <c r="G47" s="43">
        <f t="shared" ref="G47" si="19">G45-G46</f>
        <v>3.599030264604683</v>
      </c>
      <c r="H47" s="43">
        <f t="shared" ref="H47" si="20">H45-H46</f>
        <v>4.1464824240338984</v>
      </c>
      <c r="I47" s="43">
        <f t="shared" ref="I47" si="21">I45-I46</f>
        <v>4.8369945516395036</v>
      </c>
    </row>
    <row r="48" spans="1:9" x14ac:dyDescent="0.25">
      <c r="A48" s="40" t="s">
        <v>69</v>
      </c>
      <c r="B48" s="41"/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</row>
    <row r="49" spans="1:10" x14ac:dyDescent="0.25">
      <c r="A49" s="40" t="s">
        <v>70</v>
      </c>
      <c r="B49" s="41"/>
      <c r="C49" s="43">
        <f t="shared" ref="C49:I49" si="22">C47</f>
        <v>4.6326006302067388E-2</v>
      </c>
      <c r="D49" s="43">
        <f t="shared" si="22"/>
        <v>1.1099697918838971</v>
      </c>
      <c r="E49" s="43">
        <f t="shared" si="22"/>
        <v>2.2376234132529373</v>
      </c>
      <c r="F49" s="43">
        <f t="shared" si="22"/>
        <v>2.9338188923916242</v>
      </c>
      <c r="G49" s="43">
        <f t="shared" si="22"/>
        <v>3.599030264604683</v>
      </c>
      <c r="H49" s="43">
        <f t="shared" si="22"/>
        <v>4.1464824240338984</v>
      </c>
      <c r="I49" s="43">
        <f t="shared" si="22"/>
        <v>4.8369945516395036</v>
      </c>
    </row>
    <row r="50" spans="1:10" x14ac:dyDescent="0.25">
      <c r="A50" s="38"/>
      <c r="B50" s="39"/>
      <c r="C50" s="44"/>
      <c r="D50" s="44"/>
      <c r="E50" s="44"/>
      <c r="F50" s="44"/>
      <c r="G50" s="44"/>
      <c r="H50" s="44"/>
      <c r="I50" s="44"/>
    </row>
    <row r="51" spans="1:10" x14ac:dyDescent="0.25">
      <c r="A51" s="45" t="s">
        <v>71</v>
      </c>
      <c r="B51" s="50"/>
      <c r="C51" s="51">
        <f>C49+C42</f>
        <v>1.6137280896354007</v>
      </c>
      <c r="D51" s="51">
        <f t="shared" ref="D51:I51" si="23">D49+D42</f>
        <v>3.5920795835505639</v>
      </c>
      <c r="E51" s="51">
        <f t="shared" si="23"/>
        <v>4.3962409757529368</v>
      </c>
      <c r="F51" s="51">
        <f t="shared" si="23"/>
        <v>4.8125856361416242</v>
      </c>
      <c r="G51" s="51">
        <f t="shared" si="23"/>
        <v>5.2355296308546828</v>
      </c>
      <c r="H51" s="51">
        <f t="shared" si="23"/>
        <v>5.573099756002649</v>
      </c>
      <c r="I51" s="51">
        <f t="shared" si="23"/>
        <v>6.0816528674035659</v>
      </c>
      <c r="J51" s="51">
        <f>SUM(C51:I51)</f>
        <v>31.30491653934142</v>
      </c>
    </row>
    <row r="52" spans="1:10" x14ac:dyDescent="0.25">
      <c r="A52" s="38"/>
      <c r="B52" s="39"/>
      <c r="C52" s="44"/>
      <c r="D52" s="44"/>
      <c r="E52" s="44"/>
      <c r="F52" s="44"/>
      <c r="G52" s="44"/>
      <c r="H52" s="44"/>
      <c r="I52" s="44"/>
      <c r="J52" s="17"/>
    </row>
    <row r="53" spans="1:10" x14ac:dyDescent="0.25">
      <c r="A53" s="55" t="s">
        <v>72</v>
      </c>
      <c r="B53" s="56"/>
      <c r="C53" s="57">
        <f>'Bank Interest'!L31</f>
        <v>0</v>
      </c>
      <c r="D53" s="57">
        <f>'Bank Interest'!L43</f>
        <v>1.2</v>
      </c>
      <c r="E53" s="57">
        <f>'Bank Interest'!L55</f>
        <v>1.4400000000000004</v>
      </c>
      <c r="F53" s="57">
        <f>'Bank Interest'!L67</f>
        <v>1.7999999999999996</v>
      </c>
      <c r="G53" s="57">
        <f>'Bank Interest'!L79</f>
        <v>2.1599999999999997</v>
      </c>
      <c r="H53" s="57">
        <f>'Bank Interest'!L91</f>
        <v>2.4</v>
      </c>
      <c r="I53" s="57">
        <f>'Bank Interest'!L103</f>
        <v>3</v>
      </c>
      <c r="J53" s="57">
        <f>SUM(C53:I53)</f>
        <v>12</v>
      </c>
    </row>
    <row r="54" spans="1:10" x14ac:dyDescent="0.25">
      <c r="A54" s="55"/>
      <c r="B54" s="56"/>
      <c r="C54" s="57"/>
      <c r="D54" s="57"/>
      <c r="E54" s="57"/>
      <c r="F54" s="57"/>
      <c r="G54" s="57"/>
      <c r="H54" s="57"/>
      <c r="I54" s="57"/>
      <c r="J54" s="56"/>
    </row>
    <row r="55" spans="1:10" x14ac:dyDescent="0.25">
      <c r="A55" s="55" t="s">
        <v>73</v>
      </c>
      <c r="B55" s="56"/>
      <c r="C55" s="57">
        <f t="shared" ref="C55:I55" si="24">C39</f>
        <v>0.55649999999999999</v>
      </c>
      <c r="D55" s="57">
        <f t="shared" si="24"/>
        <v>0.91027500000000028</v>
      </c>
      <c r="E55" s="57">
        <f t="shared" si="24"/>
        <v>0.80613000000000068</v>
      </c>
      <c r="F55" s="57">
        <f t="shared" si="24"/>
        <v>0.67853250000000098</v>
      </c>
      <c r="G55" s="57">
        <f t="shared" si="24"/>
        <v>0.55113750000000095</v>
      </c>
      <c r="H55" s="57">
        <f t="shared" si="24"/>
        <v>0.47300000000000131</v>
      </c>
      <c r="I55" s="57">
        <f t="shared" si="24"/>
        <v>0.17875000000000119</v>
      </c>
      <c r="J55" s="57">
        <f>SUM(C55:I55)</f>
        <v>4.1543250000000054</v>
      </c>
    </row>
    <row r="56" spans="1:10" x14ac:dyDescent="0.25">
      <c r="A56" s="55"/>
      <c r="B56" s="56"/>
      <c r="C56" s="57"/>
      <c r="D56" s="57"/>
      <c r="E56" s="57"/>
      <c r="F56" s="57"/>
      <c r="G56" s="57"/>
      <c r="H56" s="57"/>
      <c r="I56" s="57"/>
      <c r="J56" s="56"/>
    </row>
    <row r="57" spans="1:10" x14ac:dyDescent="0.25">
      <c r="A57" s="55" t="s">
        <v>74</v>
      </c>
      <c r="B57" s="56"/>
      <c r="C57" s="57" t="e">
        <f>C51/C53</f>
        <v>#DIV/0!</v>
      </c>
      <c r="D57" s="57">
        <f>D51/D53</f>
        <v>2.9933996529588032</v>
      </c>
      <c r="E57" s="57">
        <f t="shared" ref="E57:F57" si="25">E51/E53</f>
        <v>3.0529451220506498</v>
      </c>
      <c r="F57" s="57">
        <f t="shared" si="25"/>
        <v>2.6736586867453473</v>
      </c>
      <c r="G57" s="57">
        <f>G51/G53</f>
        <v>2.4238563105808719</v>
      </c>
      <c r="H57" s="57">
        <f>H51/H53</f>
        <v>2.3221248983344371</v>
      </c>
      <c r="I57" s="57">
        <f t="shared" ref="I57" si="26">I51/I53</f>
        <v>2.0272176224678553</v>
      </c>
      <c r="J57" s="57">
        <f>J51/J53</f>
        <v>2.6087430449451183</v>
      </c>
    </row>
    <row r="58" spans="1:10" x14ac:dyDescent="0.25">
      <c r="A58" s="55"/>
      <c r="B58" s="56"/>
      <c r="C58" s="57"/>
      <c r="D58" s="57"/>
      <c r="E58" s="57"/>
      <c r="F58" s="57"/>
      <c r="G58" s="57"/>
      <c r="H58" s="57"/>
      <c r="I58" s="57"/>
      <c r="J58" s="56"/>
    </row>
    <row r="59" spans="1:10" x14ac:dyDescent="0.25">
      <c r="A59" s="55" t="s">
        <v>75</v>
      </c>
      <c r="B59" s="56"/>
      <c r="C59" s="57">
        <f t="shared" ref="C59:G59" si="27">(C51+C55)/(C53+C55)</f>
        <v>3.8997809337563356</v>
      </c>
      <c r="D59" s="57">
        <f t="shared" si="27"/>
        <v>2.1335392702612519</v>
      </c>
      <c r="E59" s="57">
        <f t="shared" si="27"/>
        <v>2.3161486537969465</v>
      </c>
      <c r="F59" s="57">
        <f t="shared" si="27"/>
        <v>2.2154715082984082</v>
      </c>
      <c r="G59" s="57">
        <f t="shared" si="27"/>
        <v>2.1344056252604977</v>
      </c>
      <c r="H59" s="57">
        <f>(H51+H55)/(H53+H55)</f>
        <v>2.1044551883058293</v>
      </c>
      <c r="I59" s="57">
        <f t="shared" ref="I59" si="28">(I51+I55)/(I53+I55)</f>
        <v>1.9694543035481129</v>
      </c>
      <c r="J59" s="57">
        <f>(J51+J55)/(J53+J55)</f>
        <v>2.195030837830823</v>
      </c>
    </row>
  </sheetData>
  <mergeCells count="1">
    <mergeCell ref="A1:I1"/>
  </mergeCells>
  <phoneticPr fontId="15" type="noConversion"/>
  <pageMargins left="0.7" right="0.7" top="0.75" bottom="0.75" header="0.3" footer="0.3"/>
  <pageSetup scale="87" orientation="landscape" r:id="rId1"/>
  <ignoredErrors>
    <ignoredError sqref="B2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B5AB5-5804-44A5-9D54-9131A4C312B3}">
  <dimension ref="A1:H86"/>
  <sheetViews>
    <sheetView topLeftCell="A46" workbookViewId="0">
      <selection activeCell="F15" sqref="F15"/>
    </sheetView>
  </sheetViews>
  <sheetFormatPr defaultRowHeight="15" x14ac:dyDescent="0.25"/>
  <cols>
    <col min="1" max="1" width="41.28515625" customWidth="1"/>
    <col min="2" max="2" width="15.140625" customWidth="1"/>
    <col min="3" max="3" width="14.140625" customWidth="1"/>
    <col min="4" max="4" width="17" customWidth="1"/>
    <col min="5" max="5" width="11.7109375" customWidth="1"/>
    <col min="6" max="6" width="13" customWidth="1"/>
    <col min="7" max="7" width="13.7109375" customWidth="1"/>
    <col min="8" max="8" width="14.7109375" customWidth="1"/>
  </cols>
  <sheetData>
    <row r="1" spans="1:4" x14ac:dyDescent="0.25">
      <c r="A1" s="2" t="s">
        <v>218</v>
      </c>
      <c r="B1" s="2"/>
      <c r="C1" s="2"/>
    </row>
    <row r="3" spans="1:4" x14ac:dyDescent="0.25">
      <c r="A3" s="2" t="s">
        <v>229</v>
      </c>
      <c r="B3" s="2"/>
      <c r="C3" s="2"/>
    </row>
    <row r="5" spans="1:4" x14ac:dyDescent="0.25">
      <c r="A5" s="40" t="s">
        <v>223</v>
      </c>
      <c r="B5" s="40" t="s">
        <v>224</v>
      </c>
      <c r="C5" s="40" t="s">
        <v>225</v>
      </c>
      <c r="D5" s="40" t="s">
        <v>226</v>
      </c>
    </row>
    <row r="6" spans="1:4" x14ac:dyDescent="0.25">
      <c r="A6" s="41" t="s">
        <v>219</v>
      </c>
      <c r="B6" s="41">
        <v>1</v>
      </c>
      <c r="C6" s="41">
        <v>7000</v>
      </c>
      <c r="D6" s="40">
        <f>C6*B6</f>
        <v>7000</v>
      </c>
    </row>
    <row r="7" spans="1:4" x14ac:dyDescent="0.25">
      <c r="A7" s="41" t="s">
        <v>372</v>
      </c>
      <c r="B7" s="41">
        <v>30</v>
      </c>
      <c r="C7" s="41">
        <v>4000</v>
      </c>
      <c r="D7" s="40">
        <f t="shared" ref="D7:D12" si="0">C7*B7</f>
        <v>120000</v>
      </c>
    </row>
    <row r="8" spans="1:4" x14ac:dyDescent="0.25">
      <c r="A8" s="41" t="s">
        <v>373</v>
      </c>
      <c r="B8" s="41">
        <v>4</v>
      </c>
      <c r="C8" s="41">
        <v>2500</v>
      </c>
      <c r="D8" s="40">
        <f t="shared" si="0"/>
        <v>10000</v>
      </c>
    </row>
    <row r="9" spans="1:4" x14ac:dyDescent="0.25">
      <c r="A9" s="41" t="s">
        <v>374</v>
      </c>
      <c r="B9" s="41">
        <v>5</v>
      </c>
      <c r="C9" s="41">
        <v>2000</v>
      </c>
      <c r="D9" s="40">
        <f t="shared" si="0"/>
        <v>10000</v>
      </c>
    </row>
    <row r="10" spans="1:4" x14ac:dyDescent="0.25">
      <c r="A10" s="41" t="s">
        <v>375</v>
      </c>
      <c r="B10" s="41">
        <v>55</v>
      </c>
      <c r="C10" s="41">
        <v>1500</v>
      </c>
      <c r="D10" s="40">
        <f t="shared" si="0"/>
        <v>82500</v>
      </c>
    </row>
    <row r="11" spans="1:4" x14ac:dyDescent="0.25">
      <c r="A11" s="41" t="s">
        <v>220</v>
      </c>
      <c r="B11" s="41">
        <v>22</v>
      </c>
      <c r="C11" s="41">
        <v>8000</v>
      </c>
      <c r="D11" s="40">
        <f t="shared" si="0"/>
        <v>176000</v>
      </c>
    </row>
    <row r="12" spans="1:4" x14ac:dyDescent="0.25">
      <c r="A12" s="41" t="s">
        <v>376</v>
      </c>
      <c r="B12" s="41">
        <v>3</v>
      </c>
      <c r="C12" s="41">
        <v>5000</v>
      </c>
      <c r="D12" s="40">
        <f t="shared" si="0"/>
        <v>15000</v>
      </c>
    </row>
    <row r="13" spans="1:4" x14ac:dyDescent="0.25">
      <c r="A13" s="41" t="s">
        <v>221</v>
      </c>
      <c r="B13" s="41"/>
      <c r="C13" s="41"/>
      <c r="D13" s="40">
        <f>SUM(D6:D12)</f>
        <v>420500</v>
      </c>
    </row>
    <row r="14" spans="1:4" x14ac:dyDescent="0.25">
      <c r="A14" s="41" t="s">
        <v>222</v>
      </c>
      <c r="B14" s="41">
        <f>SUM(B6:B12)</f>
        <v>120</v>
      </c>
      <c r="C14" s="41"/>
      <c r="D14" s="40">
        <f>D13*30</f>
        <v>12615000</v>
      </c>
    </row>
    <row r="17" spans="1:8" x14ac:dyDescent="0.25">
      <c r="A17" s="31" t="s">
        <v>230</v>
      </c>
    </row>
    <row r="19" spans="1:8" x14ac:dyDescent="0.25">
      <c r="A19" s="83" t="s">
        <v>231</v>
      </c>
      <c r="B19" s="83"/>
      <c r="C19" s="83"/>
      <c r="D19" s="83"/>
      <c r="E19" s="83"/>
      <c r="F19" s="83"/>
      <c r="G19" s="83"/>
      <c r="H19" s="84"/>
    </row>
    <row r="20" spans="1:8" x14ac:dyDescent="0.25">
      <c r="A20" s="85" t="s">
        <v>232</v>
      </c>
      <c r="B20" s="85">
        <v>120</v>
      </c>
      <c r="C20" s="85" t="s">
        <v>236</v>
      </c>
      <c r="D20" s="85"/>
      <c r="E20" s="85"/>
      <c r="F20" s="85"/>
      <c r="G20" s="85"/>
      <c r="H20" s="86"/>
    </row>
    <row r="21" spans="1:8" x14ac:dyDescent="0.25">
      <c r="A21" s="85" t="s">
        <v>233</v>
      </c>
      <c r="B21" s="85">
        <f>B20*365</f>
        <v>43800</v>
      </c>
      <c r="C21" s="85" t="s">
        <v>236</v>
      </c>
      <c r="D21" s="85" t="s">
        <v>238</v>
      </c>
      <c r="E21" s="85"/>
      <c r="F21" s="85">
        <v>365</v>
      </c>
      <c r="G21" s="85"/>
      <c r="H21" s="86"/>
    </row>
    <row r="22" spans="1:8" x14ac:dyDescent="0.25">
      <c r="A22" s="85" t="s">
        <v>234</v>
      </c>
      <c r="B22" s="85">
        <v>3</v>
      </c>
      <c r="C22" s="85" t="s">
        <v>235</v>
      </c>
      <c r="D22" s="85" t="s">
        <v>239</v>
      </c>
      <c r="E22" s="85"/>
      <c r="F22" s="85">
        <v>300</v>
      </c>
      <c r="G22" s="85"/>
      <c r="H22" s="86"/>
    </row>
    <row r="23" spans="1:8" x14ac:dyDescent="0.25">
      <c r="A23" s="85" t="s">
        <v>237</v>
      </c>
      <c r="B23" s="85">
        <f>B21/B22</f>
        <v>14600</v>
      </c>
      <c r="C23" s="85"/>
      <c r="D23" s="85"/>
      <c r="E23" s="85"/>
      <c r="F23" s="85"/>
      <c r="G23" s="85"/>
      <c r="H23" s="86"/>
    </row>
    <row r="24" spans="1:8" x14ac:dyDescent="0.25">
      <c r="A24" s="85"/>
      <c r="B24" s="85"/>
      <c r="C24" s="85"/>
      <c r="D24" s="85"/>
      <c r="E24" s="85"/>
      <c r="F24" s="85"/>
      <c r="G24" s="85"/>
      <c r="H24" s="86"/>
    </row>
    <row r="25" spans="1:8" x14ac:dyDescent="0.25">
      <c r="A25" s="85" t="s">
        <v>240</v>
      </c>
      <c r="B25" s="85"/>
      <c r="C25" s="85"/>
      <c r="D25" s="85"/>
      <c r="E25" s="85"/>
      <c r="F25" s="85"/>
      <c r="G25" s="85"/>
      <c r="H25" s="86"/>
    </row>
    <row r="26" spans="1:8" x14ac:dyDescent="0.25">
      <c r="A26" s="87" t="s">
        <v>241</v>
      </c>
      <c r="B26" s="92" t="s">
        <v>242</v>
      </c>
      <c r="C26" s="87"/>
      <c r="D26" s="92" t="s">
        <v>245</v>
      </c>
      <c r="E26" s="87"/>
      <c r="F26" s="88" t="s">
        <v>246</v>
      </c>
      <c r="G26" s="88"/>
      <c r="H26" s="88" t="s">
        <v>11</v>
      </c>
    </row>
    <row r="27" spans="1:8" x14ac:dyDescent="0.25">
      <c r="A27" s="93"/>
      <c r="B27" s="93" t="s">
        <v>243</v>
      </c>
      <c r="C27" s="94" t="s">
        <v>244</v>
      </c>
      <c r="D27" s="93" t="s">
        <v>243</v>
      </c>
      <c r="E27" s="94" t="s">
        <v>244</v>
      </c>
      <c r="F27" s="93" t="s">
        <v>243</v>
      </c>
      <c r="G27" s="94" t="s">
        <v>244</v>
      </c>
      <c r="H27" s="93"/>
    </row>
    <row r="28" spans="1:8" x14ac:dyDescent="0.25">
      <c r="A28" s="90" t="s">
        <v>247</v>
      </c>
      <c r="B28" s="91">
        <f>B21</f>
        <v>43800</v>
      </c>
      <c r="C28" s="91"/>
      <c r="D28" s="91">
        <v>600</v>
      </c>
      <c r="E28" s="91"/>
      <c r="F28" s="91">
        <f>B28*D28</f>
        <v>26280000</v>
      </c>
      <c r="G28" s="91"/>
      <c r="H28" s="91">
        <f>F28+G28</f>
        <v>26280000</v>
      </c>
    </row>
    <row r="29" spans="1:8" x14ac:dyDescent="0.25">
      <c r="A29" s="90" t="s">
        <v>248</v>
      </c>
      <c r="B29" s="91"/>
      <c r="C29" s="91">
        <f>F22*60</f>
        <v>18000</v>
      </c>
      <c r="D29" s="91"/>
      <c r="E29" s="91">
        <v>250</v>
      </c>
      <c r="F29" s="91"/>
      <c r="G29" s="91">
        <f>C29*E29</f>
        <v>4500000</v>
      </c>
      <c r="H29" s="91">
        <f t="shared" ref="H29:H66" si="1">F29+G29</f>
        <v>4500000</v>
      </c>
    </row>
    <row r="30" spans="1:8" x14ac:dyDescent="0.25">
      <c r="A30" s="90" t="s">
        <v>249</v>
      </c>
      <c r="B30" s="91"/>
      <c r="C30" s="91">
        <f>F22*20</f>
        <v>6000</v>
      </c>
      <c r="D30" s="91"/>
      <c r="E30" s="91">
        <v>400</v>
      </c>
      <c r="F30" s="91"/>
      <c r="G30" s="91">
        <f>C30*E30</f>
        <v>2400000</v>
      </c>
      <c r="H30" s="91">
        <f t="shared" si="1"/>
        <v>2400000</v>
      </c>
    </row>
    <row r="31" spans="1:8" x14ac:dyDescent="0.25">
      <c r="A31" s="90" t="s">
        <v>250</v>
      </c>
      <c r="B31" s="91"/>
      <c r="C31" s="91">
        <f>F22*10</f>
        <v>3000</v>
      </c>
      <c r="D31" s="91"/>
      <c r="E31" s="91">
        <v>600</v>
      </c>
      <c r="F31" s="91"/>
      <c r="G31" s="91">
        <f>C31*E31</f>
        <v>1800000</v>
      </c>
      <c r="H31" s="91">
        <f t="shared" si="1"/>
        <v>1800000</v>
      </c>
    </row>
    <row r="32" spans="1:8" x14ac:dyDescent="0.25">
      <c r="A32" s="95" t="s">
        <v>251</v>
      </c>
      <c r="B32" s="91">
        <f>F22*1</f>
        <v>300</v>
      </c>
      <c r="C32" s="91"/>
      <c r="D32" s="91">
        <v>14000</v>
      </c>
      <c r="E32" s="91"/>
      <c r="F32" s="91">
        <f>B32*D32</f>
        <v>4200000</v>
      </c>
      <c r="G32" s="91"/>
      <c r="H32" s="91">
        <f t="shared" si="1"/>
        <v>4200000</v>
      </c>
    </row>
    <row r="33" spans="1:8" x14ac:dyDescent="0.25">
      <c r="A33" s="95" t="s">
        <v>252</v>
      </c>
      <c r="B33" s="91">
        <f>F22/2</f>
        <v>150</v>
      </c>
      <c r="C33" s="91"/>
      <c r="D33" s="91">
        <v>220000</v>
      </c>
      <c r="E33" s="91"/>
      <c r="F33" s="91">
        <f>B33*D33</f>
        <v>33000000</v>
      </c>
      <c r="G33" s="91"/>
      <c r="H33" s="91">
        <f t="shared" si="1"/>
        <v>33000000</v>
      </c>
    </row>
    <row r="34" spans="1:8" x14ac:dyDescent="0.25">
      <c r="A34" s="95" t="s">
        <v>253</v>
      </c>
      <c r="B34" s="91">
        <f>F22*1</f>
        <v>300</v>
      </c>
      <c r="C34" s="91"/>
      <c r="D34" s="100">
        <v>40000</v>
      </c>
      <c r="E34" s="91"/>
      <c r="F34" s="91"/>
      <c r="G34" s="91"/>
      <c r="H34" s="91"/>
    </row>
    <row r="35" spans="1:8" x14ac:dyDescent="0.25">
      <c r="A35" s="90" t="s">
        <v>254</v>
      </c>
      <c r="B35" s="91"/>
      <c r="C35" s="91"/>
      <c r="D35" s="91">
        <v>20000</v>
      </c>
      <c r="E35" s="91"/>
      <c r="F35" s="91">
        <f>B34*D35</f>
        <v>6000000</v>
      </c>
      <c r="G35" s="91"/>
      <c r="H35" s="91">
        <f t="shared" si="1"/>
        <v>6000000</v>
      </c>
    </row>
    <row r="36" spans="1:8" x14ac:dyDescent="0.25">
      <c r="A36" s="90" t="s">
        <v>256</v>
      </c>
      <c r="B36" s="91"/>
      <c r="C36" s="91"/>
      <c r="D36" s="91">
        <v>6000</v>
      </c>
      <c r="E36" s="91"/>
      <c r="F36" s="91">
        <f>B34*D36</f>
        <v>1800000</v>
      </c>
      <c r="G36" s="91"/>
      <c r="H36" s="91">
        <f t="shared" si="1"/>
        <v>1800000</v>
      </c>
    </row>
    <row r="37" spans="1:8" x14ac:dyDescent="0.25">
      <c r="A37" s="90" t="s">
        <v>255</v>
      </c>
      <c r="B37" s="91"/>
      <c r="C37" s="91"/>
      <c r="D37" s="91">
        <v>10000</v>
      </c>
      <c r="E37" s="91"/>
      <c r="F37" s="91">
        <f>B34*D37</f>
        <v>3000000</v>
      </c>
      <c r="G37" s="91"/>
      <c r="H37" s="91">
        <f t="shared" si="1"/>
        <v>3000000</v>
      </c>
    </row>
    <row r="38" spans="1:8" x14ac:dyDescent="0.25">
      <c r="A38" s="90" t="s">
        <v>257</v>
      </c>
      <c r="B38" s="91"/>
      <c r="C38" s="91"/>
      <c r="D38" s="91">
        <v>4000</v>
      </c>
      <c r="E38" s="91"/>
      <c r="F38" s="91">
        <f>B34*D38</f>
        <v>1200000</v>
      </c>
      <c r="G38" s="91"/>
      <c r="H38" s="91">
        <f t="shared" si="1"/>
        <v>1200000</v>
      </c>
    </row>
    <row r="39" spans="1:8" x14ac:dyDescent="0.25">
      <c r="A39" s="95" t="s">
        <v>258</v>
      </c>
      <c r="B39" s="91">
        <f>F22*2</f>
        <v>600</v>
      </c>
      <c r="C39" s="91"/>
      <c r="D39" s="100">
        <v>60000</v>
      </c>
      <c r="E39" s="91"/>
      <c r="F39" s="91"/>
      <c r="G39" s="91"/>
      <c r="H39" s="91"/>
    </row>
    <row r="40" spans="1:8" x14ac:dyDescent="0.25">
      <c r="A40" s="90" t="s">
        <v>254</v>
      </c>
      <c r="B40" s="91"/>
      <c r="C40" s="91"/>
      <c r="D40" s="91">
        <v>25000</v>
      </c>
      <c r="E40" s="91"/>
      <c r="F40" s="91">
        <f>B39*D40</f>
        <v>15000000</v>
      </c>
      <c r="G40" s="91"/>
      <c r="H40" s="91">
        <f t="shared" si="1"/>
        <v>15000000</v>
      </c>
    </row>
    <row r="41" spans="1:8" x14ac:dyDescent="0.25">
      <c r="A41" s="90" t="s">
        <v>256</v>
      </c>
      <c r="B41" s="91"/>
      <c r="C41" s="91"/>
      <c r="D41" s="91">
        <v>10000</v>
      </c>
      <c r="E41" s="91"/>
      <c r="F41" s="91">
        <f>B39*D41</f>
        <v>6000000</v>
      </c>
      <c r="G41" s="91"/>
      <c r="H41" s="91">
        <f t="shared" si="1"/>
        <v>6000000</v>
      </c>
    </row>
    <row r="42" spans="1:8" x14ac:dyDescent="0.25">
      <c r="A42" s="90" t="s">
        <v>255</v>
      </c>
      <c r="B42" s="91"/>
      <c r="C42" s="91"/>
      <c r="D42" s="91">
        <v>15000</v>
      </c>
      <c r="E42" s="91"/>
      <c r="F42" s="91">
        <f>B39*D42</f>
        <v>9000000</v>
      </c>
      <c r="G42" s="91"/>
      <c r="H42" s="91">
        <f t="shared" si="1"/>
        <v>9000000</v>
      </c>
    </row>
    <row r="43" spans="1:8" x14ac:dyDescent="0.25">
      <c r="A43" s="90" t="s">
        <v>257</v>
      </c>
      <c r="B43" s="91"/>
      <c r="C43" s="91"/>
      <c r="D43" s="91">
        <v>10000</v>
      </c>
      <c r="E43" s="91"/>
      <c r="F43" s="91">
        <f>B39*D43</f>
        <v>6000000</v>
      </c>
      <c r="G43" s="91"/>
      <c r="H43" s="91">
        <f t="shared" si="1"/>
        <v>6000000</v>
      </c>
    </row>
    <row r="44" spans="1:8" x14ac:dyDescent="0.25">
      <c r="A44" s="95" t="s">
        <v>259</v>
      </c>
      <c r="B44" s="91">
        <f>F22*1</f>
        <v>300</v>
      </c>
      <c r="C44" s="91"/>
      <c r="D44" s="100">
        <v>40000</v>
      </c>
      <c r="E44" s="91"/>
      <c r="F44" s="91"/>
      <c r="G44" s="91"/>
      <c r="H44" s="91"/>
    </row>
    <row r="45" spans="1:8" x14ac:dyDescent="0.25">
      <c r="A45" s="90" t="s">
        <v>254</v>
      </c>
      <c r="B45" s="91"/>
      <c r="C45" s="91"/>
      <c r="D45" s="91">
        <v>18000</v>
      </c>
      <c r="E45" s="91"/>
      <c r="F45" s="91">
        <f>B44*D45</f>
        <v>5400000</v>
      </c>
      <c r="G45" s="91"/>
      <c r="H45" s="91">
        <f t="shared" si="1"/>
        <v>5400000</v>
      </c>
    </row>
    <row r="46" spans="1:8" x14ac:dyDescent="0.25">
      <c r="A46" s="90" t="s">
        <v>256</v>
      </c>
      <c r="B46" s="91"/>
      <c r="C46" s="91"/>
      <c r="D46" s="91">
        <v>6000</v>
      </c>
      <c r="E46" s="91"/>
      <c r="F46" s="91">
        <f>B44*D46</f>
        <v>1800000</v>
      </c>
      <c r="G46" s="91"/>
      <c r="H46" s="91">
        <f t="shared" si="1"/>
        <v>1800000</v>
      </c>
    </row>
    <row r="47" spans="1:8" x14ac:dyDescent="0.25">
      <c r="A47" s="90" t="s">
        <v>255</v>
      </c>
      <c r="B47" s="91"/>
      <c r="C47" s="91"/>
      <c r="D47" s="91">
        <v>8000</v>
      </c>
      <c r="E47" s="91"/>
      <c r="F47" s="91">
        <f>B44*D47</f>
        <v>2400000</v>
      </c>
      <c r="G47" s="91"/>
      <c r="H47" s="91">
        <f t="shared" si="1"/>
        <v>2400000</v>
      </c>
    </row>
    <row r="48" spans="1:8" x14ac:dyDescent="0.25">
      <c r="A48" s="90" t="s">
        <v>257</v>
      </c>
      <c r="B48" s="91"/>
      <c r="C48" s="91"/>
      <c r="D48" s="91">
        <v>8000</v>
      </c>
      <c r="E48" s="91"/>
      <c r="F48" s="91">
        <f>B44*D48</f>
        <v>2400000</v>
      </c>
      <c r="G48" s="91"/>
      <c r="H48" s="91">
        <f t="shared" si="1"/>
        <v>2400000</v>
      </c>
    </row>
    <row r="49" spans="1:8" x14ac:dyDescent="0.25">
      <c r="A49" s="95" t="s">
        <v>260</v>
      </c>
      <c r="B49" s="91">
        <f>F22*3</f>
        <v>900</v>
      </c>
      <c r="C49" s="91"/>
      <c r="D49" s="100">
        <v>45000</v>
      </c>
      <c r="E49" s="91"/>
      <c r="F49" s="91"/>
      <c r="G49" s="91"/>
      <c r="H49" s="91"/>
    </row>
    <row r="50" spans="1:8" x14ac:dyDescent="0.25">
      <c r="A50" s="90" t="s">
        <v>254</v>
      </c>
      <c r="B50" s="91"/>
      <c r="C50" s="91"/>
      <c r="D50" s="91">
        <v>20250</v>
      </c>
      <c r="E50" s="91"/>
      <c r="F50" s="91">
        <f>B49*D50</f>
        <v>18225000</v>
      </c>
      <c r="G50" s="91"/>
      <c r="H50" s="91">
        <f t="shared" si="1"/>
        <v>18225000</v>
      </c>
    </row>
    <row r="51" spans="1:8" x14ac:dyDescent="0.25">
      <c r="A51" s="90" t="s">
        <v>256</v>
      </c>
      <c r="B51" s="91"/>
      <c r="C51" s="91"/>
      <c r="D51" s="91">
        <v>4500</v>
      </c>
      <c r="E51" s="91"/>
      <c r="F51" s="91">
        <f>B49*D51</f>
        <v>4050000</v>
      </c>
      <c r="G51" s="91"/>
      <c r="H51" s="91">
        <f t="shared" si="1"/>
        <v>4050000</v>
      </c>
    </row>
    <row r="52" spans="1:8" x14ac:dyDescent="0.25">
      <c r="A52" s="90" t="s">
        <v>255</v>
      </c>
      <c r="B52" s="91"/>
      <c r="C52" s="91"/>
      <c r="D52" s="91">
        <v>15750</v>
      </c>
      <c r="E52" s="91"/>
      <c r="F52" s="91">
        <f>B49*D52</f>
        <v>14175000</v>
      </c>
      <c r="G52" s="91"/>
      <c r="H52" s="91">
        <f t="shared" si="1"/>
        <v>14175000</v>
      </c>
    </row>
    <row r="53" spans="1:8" x14ac:dyDescent="0.25">
      <c r="A53" s="90" t="s">
        <v>257</v>
      </c>
      <c r="B53" s="91"/>
      <c r="C53" s="91"/>
      <c r="D53" s="91">
        <v>4500</v>
      </c>
      <c r="E53" s="91"/>
      <c r="F53" s="91">
        <f>B49*D53</f>
        <v>4050000</v>
      </c>
      <c r="G53" s="91"/>
      <c r="H53" s="91">
        <f t="shared" si="1"/>
        <v>4050000</v>
      </c>
    </row>
    <row r="54" spans="1:8" x14ac:dyDescent="0.25">
      <c r="A54" s="95" t="s">
        <v>261</v>
      </c>
      <c r="B54" s="91"/>
      <c r="C54" s="91">
        <f>F22*2</f>
        <v>600</v>
      </c>
      <c r="D54" s="91"/>
      <c r="E54" s="91">
        <v>1100</v>
      </c>
      <c r="F54" s="91"/>
      <c r="G54" s="91">
        <f>C54*E54</f>
        <v>660000</v>
      </c>
      <c r="H54" s="91">
        <f t="shared" si="1"/>
        <v>660000</v>
      </c>
    </row>
    <row r="55" spans="1:8" x14ac:dyDescent="0.25">
      <c r="A55" s="90" t="s">
        <v>262</v>
      </c>
      <c r="B55" s="91"/>
      <c r="C55" s="91">
        <f>F22*1</f>
        <v>300</v>
      </c>
      <c r="D55" s="91"/>
      <c r="E55" s="91">
        <v>2000</v>
      </c>
      <c r="F55" s="91"/>
      <c r="G55" s="91">
        <f>C55*E55</f>
        <v>600000</v>
      </c>
      <c r="H55" s="91">
        <f t="shared" si="1"/>
        <v>600000</v>
      </c>
    </row>
    <row r="56" spans="1:8" x14ac:dyDescent="0.25">
      <c r="A56" s="90" t="s">
        <v>263</v>
      </c>
      <c r="B56" s="91">
        <f>B23*1%</f>
        <v>146</v>
      </c>
      <c r="C56" s="91"/>
      <c r="D56" s="91">
        <v>60000</v>
      </c>
      <c r="E56" s="91"/>
      <c r="F56" s="91">
        <f>B56*D56</f>
        <v>8760000</v>
      </c>
      <c r="G56" s="91"/>
      <c r="H56" s="91">
        <f t="shared" si="1"/>
        <v>8760000</v>
      </c>
    </row>
    <row r="57" spans="1:8" x14ac:dyDescent="0.25">
      <c r="A57" s="90" t="s">
        <v>264</v>
      </c>
      <c r="B57" s="91">
        <f>F21</f>
        <v>365</v>
      </c>
      <c r="C57" s="91"/>
      <c r="D57" s="91">
        <v>33000</v>
      </c>
      <c r="E57" s="91"/>
      <c r="F57" s="91">
        <f>B57*D57</f>
        <v>12045000</v>
      </c>
      <c r="G57" s="91"/>
      <c r="H57" s="91">
        <f t="shared" si="1"/>
        <v>12045000</v>
      </c>
    </row>
    <row r="58" spans="1:8" x14ac:dyDescent="0.25">
      <c r="A58" s="90" t="s">
        <v>265</v>
      </c>
      <c r="B58" s="91">
        <f>B23</f>
        <v>14600</v>
      </c>
      <c r="C58" s="91"/>
      <c r="D58" s="91">
        <v>100</v>
      </c>
      <c r="E58" s="91"/>
      <c r="F58" s="91">
        <f>B58*D58</f>
        <v>1460000</v>
      </c>
      <c r="G58" s="91"/>
      <c r="H58" s="91">
        <f t="shared" si="1"/>
        <v>1460000</v>
      </c>
    </row>
    <row r="59" spans="1:8" x14ac:dyDescent="0.25">
      <c r="A59" s="90" t="s">
        <v>266</v>
      </c>
      <c r="B59" s="91">
        <f>B21</f>
        <v>43800</v>
      </c>
      <c r="C59" s="91">
        <f>(C29+C30+C31+C54+C55)*25%</f>
        <v>6975</v>
      </c>
      <c r="D59" s="91">
        <v>2000</v>
      </c>
      <c r="E59" s="91">
        <v>2000</v>
      </c>
      <c r="F59" s="91">
        <f>B59*D59</f>
        <v>87600000</v>
      </c>
      <c r="G59" s="91">
        <f t="shared" ref="G59:G66" si="2">C59*E59</f>
        <v>13950000</v>
      </c>
      <c r="H59" s="91">
        <f t="shared" si="1"/>
        <v>101550000</v>
      </c>
    </row>
    <row r="60" spans="1:8" x14ac:dyDescent="0.25">
      <c r="A60" s="95" t="s">
        <v>267</v>
      </c>
      <c r="B60" s="91"/>
      <c r="C60" s="91">
        <v>1200</v>
      </c>
      <c r="D60" s="91"/>
      <c r="E60" s="91">
        <v>1500</v>
      </c>
      <c r="F60" s="91"/>
      <c r="G60" s="91">
        <f t="shared" si="2"/>
        <v>1800000</v>
      </c>
      <c r="H60" s="91">
        <f t="shared" si="1"/>
        <v>1800000</v>
      </c>
    </row>
    <row r="61" spans="1:8" x14ac:dyDescent="0.25">
      <c r="A61" s="90" t="s">
        <v>268</v>
      </c>
      <c r="B61" s="91">
        <f>(B21+B32+B33+B34+B39+B44+B49+B56+B57)</f>
        <v>46861</v>
      </c>
      <c r="C61" s="91">
        <f>(C29+C30+C31+C54+C55+C60)*30%</f>
        <v>8730</v>
      </c>
      <c r="D61" s="91">
        <v>1200</v>
      </c>
      <c r="E61" s="91">
        <v>1000</v>
      </c>
      <c r="F61" s="91">
        <f t="shared" ref="F61:F66" si="3">B61*D61</f>
        <v>56233200</v>
      </c>
      <c r="G61" s="91">
        <f t="shared" si="2"/>
        <v>8730000</v>
      </c>
      <c r="H61" s="91">
        <f t="shared" si="1"/>
        <v>64963200</v>
      </c>
    </row>
    <row r="62" spans="1:8" x14ac:dyDescent="0.25">
      <c r="A62" s="90" t="s">
        <v>269</v>
      </c>
      <c r="B62" s="91">
        <f>B23*2%</f>
        <v>292</v>
      </c>
      <c r="C62" s="91">
        <f>F22*2</f>
        <v>600</v>
      </c>
      <c r="D62" s="91">
        <v>6600</v>
      </c>
      <c r="E62" s="91">
        <v>6000</v>
      </c>
      <c r="F62" s="91">
        <f t="shared" si="3"/>
        <v>1927200</v>
      </c>
      <c r="G62" s="91">
        <f t="shared" si="2"/>
        <v>3600000</v>
      </c>
      <c r="H62" s="91">
        <f t="shared" si="1"/>
        <v>5527200</v>
      </c>
    </row>
    <row r="63" spans="1:8" x14ac:dyDescent="0.25">
      <c r="A63" s="90" t="s">
        <v>270</v>
      </c>
      <c r="B63" s="91">
        <f>(B23+B32+B33+B34+B39+B44+B49+B56+B57)*2%</f>
        <v>353.22</v>
      </c>
      <c r="C63" s="91">
        <f>F22*4</f>
        <v>1200</v>
      </c>
      <c r="D63" s="91">
        <v>3300</v>
      </c>
      <c r="E63" s="91">
        <v>3000</v>
      </c>
      <c r="F63" s="91">
        <f t="shared" si="3"/>
        <v>1165626</v>
      </c>
      <c r="G63" s="91">
        <f t="shared" si="2"/>
        <v>3600000</v>
      </c>
      <c r="H63" s="91">
        <f t="shared" si="1"/>
        <v>4765626</v>
      </c>
    </row>
    <row r="64" spans="1:8" x14ac:dyDescent="0.25">
      <c r="A64" s="90" t="s">
        <v>271</v>
      </c>
      <c r="B64" s="91">
        <f>(B23+B32+B33+B34+B39+B44+B49+B57+B56)*5%</f>
        <v>883.05000000000007</v>
      </c>
      <c r="C64" s="91">
        <f>F22*4</f>
        <v>1200</v>
      </c>
      <c r="D64" s="91">
        <v>275</v>
      </c>
      <c r="E64" s="91">
        <v>200</v>
      </c>
      <c r="F64" s="91">
        <f t="shared" si="3"/>
        <v>242838.75000000003</v>
      </c>
      <c r="G64" s="91">
        <f t="shared" si="2"/>
        <v>240000</v>
      </c>
      <c r="H64" s="91">
        <f t="shared" si="1"/>
        <v>482838.75</v>
      </c>
    </row>
    <row r="65" spans="1:8" x14ac:dyDescent="0.25">
      <c r="A65" s="90" t="s">
        <v>272</v>
      </c>
      <c r="B65" s="91">
        <f>(B23+B32+B33+B34+B39+B44+B49+B56+B57)*5%</f>
        <v>883.05000000000007</v>
      </c>
      <c r="C65" s="91">
        <f>F22*5</f>
        <v>1500</v>
      </c>
      <c r="D65" s="91">
        <v>880</v>
      </c>
      <c r="E65" s="91">
        <v>800</v>
      </c>
      <c r="F65" s="91">
        <f t="shared" si="3"/>
        <v>777084.00000000012</v>
      </c>
      <c r="G65" s="91">
        <f t="shared" si="2"/>
        <v>1200000</v>
      </c>
      <c r="H65" s="91">
        <f t="shared" si="1"/>
        <v>1977084</v>
      </c>
    </row>
    <row r="66" spans="1:8" x14ac:dyDescent="0.25">
      <c r="A66" s="90" t="s">
        <v>273</v>
      </c>
      <c r="B66" s="91">
        <f>(B23+B32+B33+B39+B44+B49+B56+B57)*20%</f>
        <v>3472.2000000000003</v>
      </c>
      <c r="C66" s="91">
        <f>F22</f>
        <v>300</v>
      </c>
      <c r="D66" s="91">
        <v>220</v>
      </c>
      <c r="E66" s="91">
        <v>200</v>
      </c>
      <c r="F66" s="91">
        <f t="shared" si="3"/>
        <v>763884.00000000012</v>
      </c>
      <c r="G66" s="91">
        <f t="shared" si="2"/>
        <v>60000</v>
      </c>
      <c r="H66" s="91">
        <f t="shared" si="1"/>
        <v>823884.00000000012</v>
      </c>
    </row>
    <row r="67" spans="1:8" x14ac:dyDescent="0.25">
      <c r="A67" s="90"/>
      <c r="B67" s="91"/>
      <c r="C67" s="91"/>
      <c r="D67" s="91"/>
      <c r="E67" s="91"/>
      <c r="F67" s="91"/>
      <c r="G67" s="91"/>
      <c r="H67" s="91"/>
    </row>
    <row r="68" spans="1:8" x14ac:dyDescent="0.25">
      <c r="A68" s="95" t="s">
        <v>274</v>
      </c>
      <c r="B68" s="91"/>
      <c r="C68" s="91"/>
      <c r="D68" s="91"/>
      <c r="E68" s="91"/>
      <c r="F68" s="91"/>
      <c r="G68" s="91"/>
      <c r="H68" s="91">
        <f>SUM(H28:H66)</f>
        <v>378094832.75</v>
      </c>
    </row>
    <row r="69" spans="1:8" s="74" customFormat="1" ht="30" x14ac:dyDescent="0.25">
      <c r="A69" s="97" t="s">
        <v>275</v>
      </c>
      <c r="B69" s="98"/>
      <c r="C69" s="98"/>
      <c r="D69" s="98"/>
      <c r="E69" s="98"/>
      <c r="F69" s="98"/>
      <c r="G69" s="98"/>
      <c r="H69" s="98">
        <f>H68*10%</f>
        <v>37809483.274999999</v>
      </c>
    </row>
    <row r="70" spans="1:8" x14ac:dyDescent="0.25">
      <c r="A70" s="90" t="s">
        <v>276</v>
      </c>
      <c r="B70" s="91"/>
      <c r="C70" s="91"/>
      <c r="D70" s="91"/>
      <c r="E70" s="91"/>
      <c r="F70" s="91"/>
      <c r="G70" s="91"/>
      <c r="H70" s="91">
        <f>H68-H69</f>
        <v>340285349.47500002</v>
      </c>
    </row>
    <row r="71" spans="1:8" x14ac:dyDescent="0.25">
      <c r="A71" s="90" t="s">
        <v>277</v>
      </c>
      <c r="B71" s="91"/>
      <c r="C71" s="91"/>
      <c r="D71" s="91"/>
      <c r="E71" s="91"/>
      <c r="F71" s="91"/>
      <c r="G71" s="91"/>
      <c r="H71" s="91">
        <f>H70/12</f>
        <v>28357112.456250001</v>
      </c>
    </row>
    <row r="72" spans="1:8" x14ac:dyDescent="0.25">
      <c r="A72" s="90"/>
      <c r="B72" s="91"/>
      <c r="C72" s="91"/>
      <c r="D72" s="91"/>
      <c r="E72" s="91"/>
      <c r="F72" s="91"/>
      <c r="G72" s="91"/>
      <c r="H72" s="91"/>
    </row>
    <row r="73" spans="1:8" x14ac:dyDescent="0.25">
      <c r="A73" s="90"/>
      <c r="B73" s="91"/>
      <c r="C73" s="91"/>
      <c r="D73" s="91"/>
      <c r="E73" s="91"/>
      <c r="F73" s="91"/>
      <c r="G73" s="91"/>
      <c r="H73" s="91"/>
    </row>
    <row r="74" spans="1:8" x14ac:dyDescent="0.25">
      <c r="A74" s="89"/>
      <c r="B74" s="96"/>
      <c r="C74" s="96"/>
      <c r="D74" s="96"/>
      <c r="E74" s="96"/>
      <c r="F74" s="96"/>
      <c r="G74" s="96"/>
      <c r="H74" s="96"/>
    </row>
    <row r="77" spans="1:8" x14ac:dyDescent="0.25">
      <c r="A77" s="31" t="s">
        <v>278</v>
      </c>
    </row>
    <row r="78" spans="1:8" x14ac:dyDescent="0.25">
      <c r="A78" s="99"/>
      <c r="B78" s="88" t="s">
        <v>279</v>
      </c>
    </row>
    <row r="79" spans="1:8" x14ac:dyDescent="0.25">
      <c r="A79" s="90" t="s">
        <v>284</v>
      </c>
      <c r="B79" s="90">
        <f>B21*500</f>
        <v>21900000</v>
      </c>
    </row>
    <row r="80" spans="1:8" x14ac:dyDescent="0.25">
      <c r="A80" s="90" t="s">
        <v>280</v>
      </c>
      <c r="B80" s="90">
        <v>150000</v>
      </c>
    </row>
    <row r="81" spans="1:2" x14ac:dyDescent="0.25">
      <c r="A81" s="90" t="s">
        <v>281</v>
      </c>
      <c r="B81" s="90">
        <f>B21*10</f>
        <v>438000</v>
      </c>
    </row>
    <row r="82" spans="1:2" x14ac:dyDescent="0.25">
      <c r="A82" s="90"/>
      <c r="B82" s="90"/>
    </row>
    <row r="83" spans="1:2" x14ac:dyDescent="0.25">
      <c r="A83" s="90" t="s">
        <v>282</v>
      </c>
      <c r="B83" s="90">
        <f>SUM(B79:B81)</f>
        <v>22488000</v>
      </c>
    </row>
    <row r="84" spans="1:2" x14ac:dyDescent="0.25">
      <c r="A84" s="90"/>
      <c r="B84" s="90"/>
    </row>
    <row r="85" spans="1:2" x14ac:dyDescent="0.25">
      <c r="A85" s="90"/>
      <c r="B85" s="90"/>
    </row>
    <row r="86" spans="1:2" x14ac:dyDescent="0.25">
      <c r="A86" s="89"/>
      <c r="B86" s="8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workbookViewId="0">
      <selection activeCell="M13" sqref="M13"/>
    </sheetView>
  </sheetViews>
  <sheetFormatPr defaultRowHeight="15" x14ac:dyDescent="0.25"/>
  <cols>
    <col min="1" max="1" width="27.42578125" customWidth="1"/>
  </cols>
  <sheetData>
    <row r="1" spans="1:9" x14ac:dyDescent="0.25">
      <c r="A1" s="115" t="s">
        <v>41</v>
      </c>
      <c r="B1" s="115"/>
      <c r="C1" s="115"/>
      <c r="D1" s="115"/>
      <c r="E1" s="115"/>
      <c r="F1" s="115"/>
      <c r="G1" s="115"/>
      <c r="H1" s="115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58" t="str">
        <f>'Project Details'!C3</f>
        <v>2023-24</v>
      </c>
      <c r="D3" s="58" t="str">
        <f>'Project Details'!D3</f>
        <v>2024-25</v>
      </c>
      <c r="E3" s="58" t="str">
        <f>'Project Details'!E3</f>
        <v>2025-26</v>
      </c>
      <c r="F3" s="58" t="str">
        <f>'Project Details'!F3</f>
        <v>2026-27</v>
      </c>
      <c r="G3" s="58" t="str">
        <f>'Project Details'!G3</f>
        <v>2027-28</v>
      </c>
      <c r="H3" s="58" t="str">
        <f>'Project Details'!H3</f>
        <v>2028-29</v>
      </c>
      <c r="I3" s="58" t="str">
        <f>'Project Details'!I3</f>
        <v>2029-30</v>
      </c>
    </row>
    <row r="4" spans="1:9" x14ac:dyDescent="0.25">
      <c r="A4" s="31" t="s">
        <v>42</v>
      </c>
      <c r="B4" s="17"/>
      <c r="C4" s="17"/>
      <c r="D4" s="17"/>
      <c r="E4" s="17"/>
      <c r="F4" s="17"/>
      <c r="G4" s="17"/>
      <c r="H4" s="17"/>
      <c r="I4" s="17"/>
    </row>
    <row r="5" spans="1:9" x14ac:dyDescent="0.25">
      <c r="A5" s="17" t="s">
        <v>43</v>
      </c>
      <c r="B5" s="17"/>
      <c r="C5" s="18">
        <f>'Project Cost'!D8+'Project Cost'!D14</f>
        <v>8.2577499999999997</v>
      </c>
      <c r="D5" s="18">
        <f>C5</f>
        <v>8.2577499999999997</v>
      </c>
      <c r="E5" s="18">
        <f>C5</f>
        <v>8.2577499999999997</v>
      </c>
      <c r="F5" s="18">
        <f t="shared" ref="F5" si="0">E5</f>
        <v>8.2577499999999997</v>
      </c>
      <c r="G5" s="18">
        <f t="shared" ref="G5:G7" si="1">E5</f>
        <v>8.2577499999999997</v>
      </c>
      <c r="H5" s="18">
        <f t="shared" ref="H5" si="2">G5</f>
        <v>8.2577499999999997</v>
      </c>
      <c r="I5" s="18">
        <f t="shared" ref="I5:I7" si="3">G5</f>
        <v>8.2577499999999997</v>
      </c>
    </row>
    <row r="6" spans="1:9" x14ac:dyDescent="0.25">
      <c r="A6" s="17" t="s">
        <v>44</v>
      </c>
      <c r="B6" s="17"/>
      <c r="C6" s="18">
        <f>'Project Cost'!D9</f>
        <v>11</v>
      </c>
      <c r="D6" s="18">
        <f>C6</f>
        <v>11</v>
      </c>
      <c r="E6" s="18">
        <f>C6</f>
        <v>11</v>
      </c>
      <c r="F6" s="18">
        <f t="shared" ref="F6" si="4">E6</f>
        <v>11</v>
      </c>
      <c r="G6" s="18">
        <f t="shared" si="1"/>
        <v>11</v>
      </c>
      <c r="H6" s="18">
        <f t="shared" ref="H6" si="5">G6</f>
        <v>11</v>
      </c>
      <c r="I6" s="18">
        <f t="shared" si="3"/>
        <v>11</v>
      </c>
    </row>
    <row r="7" spans="1:9" x14ac:dyDescent="0.25">
      <c r="A7" s="17" t="s">
        <v>199</v>
      </c>
      <c r="B7" s="17"/>
      <c r="C7" s="18">
        <f>'Project Cost'!D10+'Project Cost'!D12</f>
        <v>2.1120000000000001</v>
      </c>
      <c r="D7" s="18">
        <f>C7</f>
        <v>2.1120000000000001</v>
      </c>
      <c r="E7" s="18">
        <f>C7</f>
        <v>2.1120000000000001</v>
      </c>
      <c r="F7" s="18">
        <f t="shared" ref="F7" si="6">E7</f>
        <v>2.1120000000000001</v>
      </c>
      <c r="G7" s="18">
        <f t="shared" si="1"/>
        <v>2.1120000000000001</v>
      </c>
      <c r="H7" s="18">
        <f t="shared" ref="H7" si="7">G7</f>
        <v>2.1120000000000001</v>
      </c>
      <c r="I7" s="18">
        <f t="shared" si="3"/>
        <v>2.1120000000000001</v>
      </c>
    </row>
    <row r="8" spans="1:9" x14ac:dyDescent="0.25">
      <c r="A8" s="32" t="s">
        <v>11</v>
      </c>
      <c r="B8" s="32"/>
      <c r="C8" s="33">
        <f t="shared" ref="C8:I8" si="8">SUM(C5:C7)</f>
        <v>21.369750000000003</v>
      </c>
      <c r="D8" s="33">
        <f t="shared" si="8"/>
        <v>21.369750000000003</v>
      </c>
      <c r="E8" s="33">
        <f t="shared" si="8"/>
        <v>21.369750000000003</v>
      </c>
      <c r="F8" s="33">
        <f t="shared" si="8"/>
        <v>21.369750000000003</v>
      </c>
      <c r="G8" s="33">
        <f t="shared" si="8"/>
        <v>21.369750000000003</v>
      </c>
      <c r="H8" s="33">
        <f t="shared" si="8"/>
        <v>21.369750000000003</v>
      </c>
      <c r="I8" s="33">
        <f t="shared" si="8"/>
        <v>21.369750000000003</v>
      </c>
    </row>
    <row r="9" spans="1:9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x14ac:dyDescent="0.25">
      <c r="A10" s="31" t="s">
        <v>45</v>
      </c>
      <c r="B10" s="17"/>
      <c r="C10" s="17"/>
      <c r="D10" s="17"/>
      <c r="E10" s="17"/>
      <c r="F10" s="17"/>
      <c r="G10" s="17"/>
      <c r="H10" s="17"/>
      <c r="I10" s="17"/>
    </row>
    <row r="11" spans="1:9" x14ac:dyDescent="0.25">
      <c r="A11" s="17" t="s">
        <v>43</v>
      </c>
      <c r="B11" s="20">
        <v>0.1</v>
      </c>
      <c r="C11" s="18">
        <f>(C5*B11)*7/12</f>
        <v>0.48170208333333336</v>
      </c>
      <c r="D11" s="18">
        <f>C17*B11</f>
        <v>0.77760479166666663</v>
      </c>
      <c r="E11" s="18">
        <f>D17*B11</f>
        <v>0.69984431250000001</v>
      </c>
      <c r="F11" s="18">
        <f>E17*B11</f>
        <v>0.62985988125000003</v>
      </c>
      <c r="G11" s="18">
        <f>F17*B11</f>
        <v>0.56687389312500003</v>
      </c>
      <c r="H11" s="18">
        <f>G17*B11</f>
        <v>0.51018650381250008</v>
      </c>
      <c r="I11" s="18">
        <f>H17*B11</f>
        <v>0.45916785343124999</v>
      </c>
    </row>
    <row r="12" spans="1:9" x14ac:dyDescent="0.25">
      <c r="A12" s="17" t="s">
        <v>46</v>
      </c>
      <c r="B12" s="20">
        <v>0.15</v>
      </c>
      <c r="C12" s="18">
        <f>(C6*B12)*7/12</f>
        <v>0.96249999999999991</v>
      </c>
      <c r="D12" s="18">
        <f>C18*B12</f>
        <v>1.505625</v>
      </c>
      <c r="E12" s="18">
        <f>D18*B12</f>
        <v>1.2797812499999999</v>
      </c>
      <c r="F12" s="18">
        <f>E18*B12</f>
        <v>1.0878140624999999</v>
      </c>
      <c r="G12" s="18">
        <f>F18*B12</f>
        <v>0.92464195312499986</v>
      </c>
      <c r="H12" s="18">
        <f>G18*B12</f>
        <v>0.78594566015625</v>
      </c>
      <c r="I12" s="18">
        <f>H18*B12</f>
        <v>0.66805381113281259</v>
      </c>
    </row>
    <row r="13" spans="1:9" x14ac:dyDescent="0.25">
      <c r="A13" s="17" t="s">
        <v>199</v>
      </c>
      <c r="B13" s="20">
        <v>0.1</v>
      </c>
      <c r="C13" s="18">
        <f>(C7*B13)*7/12</f>
        <v>0.12320000000000002</v>
      </c>
      <c r="D13" s="18">
        <f>C19*B13</f>
        <v>0.19888000000000003</v>
      </c>
      <c r="E13" s="18">
        <f>D19*B13</f>
        <v>0.17899200000000004</v>
      </c>
      <c r="F13" s="18">
        <f>E19*B13</f>
        <v>0.16109280000000004</v>
      </c>
      <c r="G13" s="18">
        <f>F19*B13</f>
        <v>0.14498352</v>
      </c>
      <c r="H13" s="18">
        <f>G19*B13</f>
        <v>0.13048516800000001</v>
      </c>
      <c r="I13" s="18">
        <f>H19*B13</f>
        <v>0.11743665120000001</v>
      </c>
    </row>
    <row r="14" spans="1:9" x14ac:dyDescent="0.25">
      <c r="A14" s="32" t="s">
        <v>11</v>
      </c>
      <c r="B14" s="32"/>
      <c r="C14" s="33">
        <f t="shared" ref="C14:I14" si="9">SUM(C11:C13)</f>
        <v>1.5674020833333333</v>
      </c>
      <c r="D14" s="33">
        <f t="shared" si="9"/>
        <v>2.4821097916666668</v>
      </c>
      <c r="E14" s="33">
        <f t="shared" si="9"/>
        <v>2.1586175624999999</v>
      </c>
      <c r="F14" s="33">
        <f t="shared" si="9"/>
        <v>1.87876674375</v>
      </c>
      <c r="G14" s="33">
        <f t="shared" si="9"/>
        <v>1.63649936625</v>
      </c>
      <c r="H14" s="33">
        <f t="shared" si="9"/>
        <v>1.4266173319687503</v>
      </c>
      <c r="I14" s="33">
        <f t="shared" si="9"/>
        <v>1.2446583157640625</v>
      </c>
    </row>
    <row r="15" spans="1:9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9" x14ac:dyDescent="0.25">
      <c r="A16" s="31" t="s">
        <v>47</v>
      </c>
      <c r="B16" s="17"/>
      <c r="C16" s="17"/>
      <c r="D16" s="17"/>
      <c r="E16" s="17"/>
      <c r="F16" s="17"/>
      <c r="G16" s="17"/>
      <c r="H16" s="17"/>
      <c r="I16" s="17"/>
    </row>
    <row r="17" spans="1:9" x14ac:dyDescent="0.25">
      <c r="A17" s="17" t="s">
        <v>48</v>
      </c>
      <c r="B17" s="17"/>
      <c r="C17" s="18">
        <f>C5-C11</f>
        <v>7.7760479166666663</v>
      </c>
      <c r="D17" s="18">
        <f t="shared" ref="D17:I19" si="10">C17-D11</f>
        <v>6.9984431249999997</v>
      </c>
      <c r="E17" s="18">
        <f t="shared" si="10"/>
        <v>6.2985988124999999</v>
      </c>
      <c r="F17" s="18">
        <f t="shared" si="10"/>
        <v>5.6687389312500001</v>
      </c>
      <c r="G17" s="18">
        <f t="shared" si="10"/>
        <v>5.1018650381250001</v>
      </c>
      <c r="H17" s="18">
        <f t="shared" si="10"/>
        <v>4.5916785343124999</v>
      </c>
      <c r="I17" s="18">
        <f t="shared" si="10"/>
        <v>4.13251068088125</v>
      </c>
    </row>
    <row r="18" spans="1:9" x14ac:dyDescent="0.25">
      <c r="A18" s="17" t="s">
        <v>44</v>
      </c>
      <c r="B18" s="17"/>
      <c r="C18" s="18">
        <f>C6-C12</f>
        <v>10.0375</v>
      </c>
      <c r="D18" s="18">
        <f t="shared" si="10"/>
        <v>8.5318749999999994</v>
      </c>
      <c r="E18" s="18">
        <f t="shared" si="10"/>
        <v>7.2520937499999993</v>
      </c>
      <c r="F18" s="18">
        <f t="shared" si="10"/>
        <v>6.1642796874999997</v>
      </c>
      <c r="G18" s="18">
        <f t="shared" si="10"/>
        <v>5.239637734375</v>
      </c>
      <c r="H18" s="18">
        <f t="shared" si="10"/>
        <v>4.4536920742187505</v>
      </c>
      <c r="I18" s="18">
        <f t="shared" si="10"/>
        <v>3.785638263085938</v>
      </c>
    </row>
    <row r="19" spans="1:9" x14ac:dyDescent="0.25">
      <c r="A19" s="17" t="s">
        <v>199</v>
      </c>
      <c r="B19" s="17"/>
      <c r="C19" s="18">
        <f>C7-C13</f>
        <v>1.9888000000000001</v>
      </c>
      <c r="D19" s="18">
        <f t="shared" si="10"/>
        <v>1.7899200000000002</v>
      </c>
      <c r="E19" s="18">
        <f t="shared" si="10"/>
        <v>1.6109280000000001</v>
      </c>
      <c r="F19" s="18">
        <f t="shared" si="10"/>
        <v>1.4498352000000001</v>
      </c>
      <c r="G19" s="18">
        <f t="shared" si="10"/>
        <v>1.3048516800000001</v>
      </c>
      <c r="H19" s="18">
        <f t="shared" si="10"/>
        <v>1.174366512</v>
      </c>
      <c r="I19" s="18">
        <f t="shared" si="10"/>
        <v>1.0569298608</v>
      </c>
    </row>
    <row r="20" spans="1:9" x14ac:dyDescent="0.25">
      <c r="A20" s="32" t="s">
        <v>11</v>
      </c>
      <c r="B20" s="32"/>
      <c r="C20" s="33">
        <f t="shared" ref="C20:I20" si="11">SUM(C17:C19)</f>
        <v>19.802347916666665</v>
      </c>
      <c r="D20" s="33">
        <f t="shared" si="11"/>
        <v>17.320238124999999</v>
      </c>
      <c r="E20" s="33">
        <f t="shared" si="11"/>
        <v>15.1616205625</v>
      </c>
      <c r="F20" s="33">
        <f t="shared" si="11"/>
        <v>13.28285381875</v>
      </c>
      <c r="G20" s="33">
        <f t="shared" si="11"/>
        <v>11.646354452500001</v>
      </c>
      <c r="H20" s="33">
        <f t="shared" si="11"/>
        <v>10.219737120531251</v>
      </c>
      <c r="I20" s="33">
        <f t="shared" si="11"/>
        <v>8.9750788047671879</v>
      </c>
    </row>
  </sheetData>
  <mergeCells count="1">
    <mergeCell ref="A1:H1"/>
  </mergeCells>
  <pageMargins left="0.7" right="0.7" top="0.75" bottom="0.75" header="0.3" footer="0.3"/>
  <pageSetup paperSize="9" orientation="landscape" r:id="rId1"/>
  <ignoredErrors>
    <ignoredError sqref="E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4"/>
  <sheetViews>
    <sheetView workbookViewId="0">
      <selection activeCell="P116" sqref="P116"/>
    </sheetView>
  </sheetViews>
  <sheetFormatPr defaultRowHeight="15" x14ac:dyDescent="0.25"/>
  <cols>
    <col min="3" max="3" width="11.42578125" customWidth="1"/>
    <col min="4" max="4" width="13.140625" customWidth="1"/>
    <col min="8" max="8" width="11.140625" customWidth="1"/>
    <col min="9" max="9" width="10.140625" customWidth="1"/>
    <col min="10" max="10" width="10.7109375" customWidth="1"/>
    <col min="13" max="13" width="10.7109375" customWidth="1"/>
  </cols>
  <sheetData>
    <row r="1" spans="1:13" x14ac:dyDescent="0.25">
      <c r="A1" s="17"/>
      <c r="B1" s="116" t="s">
        <v>14</v>
      </c>
      <c r="C1" s="116"/>
      <c r="D1" s="116"/>
      <c r="E1" s="116"/>
      <c r="F1" s="116"/>
      <c r="G1" s="116"/>
      <c r="H1" s="116"/>
      <c r="I1" s="116"/>
      <c r="J1" s="116"/>
      <c r="K1" s="116"/>
      <c r="L1" s="17"/>
      <c r="M1" s="17"/>
    </row>
    <row r="2" spans="1:13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s="17"/>
      <c r="B3" s="115" t="s">
        <v>15</v>
      </c>
      <c r="C3" s="115"/>
      <c r="D3" s="17"/>
      <c r="E3" s="18">
        <f>'Project Cost'!D16</f>
        <v>24.119749999999996</v>
      </c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17"/>
      <c r="B4" s="115" t="s">
        <v>16</v>
      </c>
      <c r="C4" s="115"/>
      <c r="D4" s="17"/>
      <c r="E4" s="18">
        <f>'Project Cost'!D24/'Project Cost'!D23</f>
        <v>1.1857707509881421</v>
      </c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7"/>
      <c r="B5" s="115" t="s">
        <v>17</v>
      </c>
      <c r="C5" s="115"/>
      <c r="D5" s="17"/>
      <c r="E5" s="18">
        <v>12</v>
      </c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x14ac:dyDescent="0.25">
      <c r="A7" s="17"/>
      <c r="B7" s="115"/>
      <c r="C7" s="115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7"/>
      <c r="B8" s="115" t="s">
        <v>18</v>
      </c>
      <c r="C8" s="115"/>
      <c r="D8" s="17"/>
      <c r="E8" s="18">
        <f>E5</f>
        <v>12</v>
      </c>
      <c r="F8" s="17" t="s">
        <v>77</v>
      </c>
      <c r="G8" s="17"/>
      <c r="H8" s="17"/>
      <c r="I8" s="17"/>
      <c r="J8" s="17"/>
      <c r="K8" s="17"/>
      <c r="L8" s="17"/>
      <c r="M8" s="17"/>
    </row>
    <row r="9" spans="1:13" x14ac:dyDescent="0.25">
      <c r="A9" s="17"/>
      <c r="B9" s="115" t="s">
        <v>19</v>
      </c>
      <c r="C9" s="115"/>
      <c r="D9" s="17"/>
      <c r="E9" s="19">
        <v>72</v>
      </c>
      <c r="F9" s="17"/>
      <c r="G9" s="17"/>
      <c r="H9" s="17"/>
      <c r="I9" s="17"/>
      <c r="J9" s="17"/>
      <c r="K9" s="17"/>
      <c r="L9" s="17"/>
      <c r="M9" s="17"/>
    </row>
    <row r="10" spans="1:13" x14ac:dyDescent="0.25">
      <c r="A10" s="17"/>
      <c r="B10" s="115" t="s">
        <v>99</v>
      </c>
      <c r="C10" s="115"/>
      <c r="D10" s="17"/>
      <c r="E10" s="19">
        <v>14</v>
      </c>
      <c r="F10" s="17"/>
      <c r="G10" s="17"/>
      <c r="H10" s="17"/>
      <c r="I10" s="17"/>
      <c r="J10" s="17"/>
      <c r="K10" s="17"/>
      <c r="L10" s="17"/>
      <c r="M10" s="17"/>
    </row>
    <row r="11" spans="1:13" x14ac:dyDescent="0.25">
      <c r="A11" s="17"/>
      <c r="B11" s="115" t="s">
        <v>20</v>
      </c>
      <c r="C11" s="115"/>
      <c r="D11" s="17" t="s">
        <v>205</v>
      </c>
      <c r="E11" s="20">
        <v>7.9500000000000001E-2</v>
      </c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17"/>
      <c r="B12" s="78"/>
      <c r="C12" s="78"/>
      <c r="D12" s="17" t="s">
        <v>212</v>
      </c>
      <c r="E12" s="20">
        <v>0.11</v>
      </c>
      <c r="F12" s="17"/>
      <c r="G12" s="17"/>
      <c r="H12" s="17"/>
      <c r="I12" s="17"/>
      <c r="J12" s="17"/>
      <c r="K12" s="17"/>
      <c r="L12" s="17"/>
      <c r="M12" s="17"/>
    </row>
    <row r="13" spans="1:13" x14ac:dyDescent="0.25">
      <c r="A13" s="17"/>
      <c r="B13" s="78"/>
      <c r="C13" s="78"/>
      <c r="D13" s="17"/>
      <c r="E13" s="20"/>
      <c r="F13" s="17"/>
      <c r="G13" s="17"/>
      <c r="H13" s="17"/>
      <c r="I13" s="17"/>
      <c r="J13" s="17"/>
      <c r="K13" s="17"/>
      <c r="L13" s="17"/>
      <c r="M13" s="17"/>
    </row>
    <row r="14" spans="1:13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 t="s">
        <v>202</v>
      </c>
      <c r="K14" s="17"/>
      <c r="L14" s="17"/>
      <c r="M14" s="17"/>
    </row>
    <row r="15" spans="1:13" x14ac:dyDescent="0.25">
      <c r="A15" s="21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1" t="s">
        <v>26</v>
      </c>
      <c r="G15" s="21" t="s">
        <v>27</v>
      </c>
      <c r="H15" s="21" t="s">
        <v>28</v>
      </c>
      <c r="I15" s="21" t="s">
        <v>29</v>
      </c>
      <c r="J15" s="21" t="s">
        <v>30</v>
      </c>
      <c r="K15" s="21" t="s">
        <v>31</v>
      </c>
      <c r="L15" s="21" t="s">
        <v>32</v>
      </c>
      <c r="M15" s="22" t="s">
        <v>29</v>
      </c>
    </row>
    <row r="16" spans="1:13" x14ac:dyDescent="0.25">
      <c r="A16" s="23" t="s">
        <v>33</v>
      </c>
      <c r="B16" s="23"/>
      <c r="C16" s="23"/>
      <c r="D16" s="23"/>
      <c r="E16" s="23" t="s">
        <v>34</v>
      </c>
      <c r="F16" s="23" t="s">
        <v>35</v>
      </c>
      <c r="G16" s="23"/>
      <c r="H16" s="23" t="s">
        <v>36</v>
      </c>
      <c r="I16" s="23" t="s">
        <v>37</v>
      </c>
      <c r="J16" s="23"/>
      <c r="K16" s="23" t="s">
        <v>38</v>
      </c>
      <c r="L16" s="23" t="s">
        <v>39</v>
      </c>
      <c r="M16" s="24" t="s">
        <v>40</v>
      </c>
    </row>
    <row r="17" spans="1:13" x14ac:dyDescent="0.25">
      <c r="A17" s="25"/>
      <c r="B17" s="25"/>
      <c r="C17" s="25"/>
      <c r="D17" s="25"/>
      <c r="E17" s="25"/>
      <c r="F17" s="25"/>
      <c r="G17" s="25"/>
      <c r="H17" s="25"/>
      <c r="I17" s="25" t="s">
        <v>40</v>
      </c>
      <c r="J17" s="25"/>
      <c r="K17" s="25"/>
      <c r="L17" s="25" t="s">
        <v>38</v>
      </c>
      <c r="M17" s="26"/>
    </row>
    <row r="18" spans="1:13" x14ac:dyDescent="0.25">
      <c r="A18" s="27">
        <v>1</v>
      </c>
      <c r="B18" s="30" t="s">
        <v>101</v>
      </c>
      <c r="C18" s="18">
        <v>0</v>
      </c>
      <c r="D18" s="18">
        <v>2</v>
      </c>
      <c r="E18" s="18">
        <f>D18*E11/12</f>
        <v>1.325E-2</v>
      </c>
      <c r="F18" s="18">
        <f>E18</f>
        <v>1.325E-2</v>
      </c>
      <c r="G18" s="18">
        <v>0</v>
      </c>
      <c r="H18" s="18">
        <f>D18-G18</f>
        <v>2</v>
      </c>
      <c r="I18" s="18">
        <f>F18+G18</f>
        <v>1.325E-2</v>
      </c>
      <c r="J18" s="28"/>
      <c r="K18" s="18"/>
      <c r="L18" s="18"/>
      <c r="M18" s="18"/>
    </row>
    <row r="19" spans="1:13" x14ac:dyDescent="0.25">
      <c r="A19" s="29">
        <f>A18+1</f>
        <v>2</v>
      </c>
      <c r="B19" s="30" t="s">
        <v>102</v>
      </c>
      <c r="C19" s="18">
        <f>H18</f>
        <v>2</v>
      </c>
      <c r="D19" s="18">
        <v>2</v>
      </c>
      <c r="E19" s="18">
        <f>H19*E11/12</f>
        <v>2.6499999999999999E-2</v>
      </c>
      <c r="F19" s="18">
        <f>E19</f>
        <v>2.6499999999999999E-2</v>
      </c>
      <c r="G19" s="18">
        <v>0</v>
      </c>
      <c r="H19" s="18">
        <f>C19+D19-G19</f>
        <v>4</v>
      </c>
      <c r="I19" s="18">
        <f>G19+F19</f>
        <v>2.6499999999999999E-2</v>
      </c>
      <c r="J19" s="18" t="str">
        <f>B19</f>
        <v>March-23</v>
      </c>
      <c r="K19" s="18">
        <f>SUM(E18:E19)</f>
        <v>3.9750000000000001E-2</v>
      </c>
      <c r="L19" s="18">
        <f>SUM(G18:G19)</f>
        <v>0</v>
      </c>
      <c r="M19" s="18">
        <f>K19+L19</f>
        <v>3.9750000000000001E-2</v>
      </c>
    </row>
    <row r="20" spans="1:13" x14ac:dyDescent="0.25">
      <c r="A20" s="29">
        <f>A19+1</f>
        <v>3</v>
      </c>
      <c r="B20" s="30" t="s">
        <v>103</v>
      </c>
      <c r="C20" s="18">
        <f>H19</f>
        <v>4</v>
      </c>
      <c r="D20" s="18">
        <v>2</v>
      </c>
      <c r="E20" s="18">
        <f>H20*E11/12</f>
        <v>3.9750000000000001E-2</v>
      </c>
      <c r="F20" s="18">
        <f t="shared" ref="F20:F76" si="0">E20</f>
        <v>3.9750000000000001E-2</v>
      </c>
      <c r="G20" s="18">
        <v>0</v>
      </c>
      <c r="H20" s="18">
        <f t="shared" ref="H20:H26" si="1">C20-G20+D20</f>
        <v>6</v>
      </c>
      <c r="I20" s="18">
        <f>F20+G20</f>
        <v>3.9750000000000001E-2</v>
      </c>
      <c r="J20" s="18"/>
      <c r="K20" s="18"/>
      <c r="L20" s="18"/>
      <c r="M20" s="18"/>
    </row>
    <row r="21" spans="1:13" x14ac:dyDescent="0.25">
      <c r="A21" s="29">
        <f t="shared" ref="A21:A83" si="2">A20+1</f>
        <v>4</v>
      </c>
      <c r="B21" s="30" t="s">
        <v>104</v>
      </c>
      <c r="C21" s="18">
        <f>H20</f>
        <v>6</v>
      </c>
      <c r="D21" s="18">
        <v>2</v>
      </c>
      <c r="E21" s="18">
        <f>H21*E11/12</f>
        <v>5.2999999999999999E-2</v>
      </c>
      <c r="F21" s="18">
        <f t="shared" si="0"/>
        <v>5.2999999999999999E-2</v>
      </c>
      <c r="G21" s="18">
        <v>0</v>
      </c>
      <c r="H21" s="18">
        <f t="shared" si="1"/>
        <v>8</v>
      </c>
      <c r="I21" s="18">
        <f>G21+F21</f>
        <v>5.2999999999999999E-2</v>
      </c>
    </row>
    <row r="22" spans="1:13" x14ac:dyDescent="0.25">
      <c r="A22" s="29">
        <f t="shared" si="2"/>
        <v>5</v>
      </c>
      <c r="B22" s="30" t="s">
        <v>105</v>
      </c>
      <c r="C22" s="18">
        <f t="shared" ref="C22:C84" si="3">H21</f>
        <v>8</v>
      </c>
      <c r="D22" s="18">
        <v>2</v>
      </c>
      <c r="E22" s="18">
        <f>H22*E11/12</f>
        <v>6.6250000000000003E-2</v>
      </c>
      <c r="F22" s="18">
        <f t="shared" si="0"/>
        <v>6.6250000000000003E-2</v>
      </c>
      <c r="G22" s="18">
        <v>0</v>
      </c>
      <c r="H22" s="18">
        <f t="shared" si="1"/>
        <v>10</v>
      </c>
      <c r="I22" s="18">
        <f>F22+G22</f>
        <v>6.6250000000000003E-2</v>
      </c>
      <c r="J22" s="18"/>
      <c r="K22" s="18"/>
      <c r="L22" s="18"/>
      <c r="M22" s="18"/>
    </row>
    <row r="23" spans="1:13" x14ac:dyDescent="0.25">
      <c r="A23" s="29">
        <f t="shared" si="2"/>
        <v>6</v>
      </c>
      <c r="B23" s="30" t="s">
        <v>106</v>
      </c>
      <c r="C23" s="18">
        <f>H22</f>
        <v>10</v>
      </c>
      <c r="D23" s="18">
        <v>2</v>
      </c>
      <c r="E23" s="18">
        <f>H23*E11/12</f>
        <v>7.9500000000000001E-2</v>
      </c>
      <c r="F23" s="18">
        <f t="shared" si="0"/>
        <v>7.9500000000000001E-2</v>
      </c>
      <c r="G23" s="18">
        <v>0</v>
      </c>
      <c r="H23" s="18">
        <f t="shared" si="1"/>
        <v>12</v>
      </c>
      <c r="I23" s="18">
        <f>G23+F23</f>
        <v>7.9500000000000001E-2</v>
      </c>
      <c r="J23" s="18"/>
      <c r="K23" s="18"/>
      <c r="L23" s="18"/>
      <c r="M23" s="17"/>
    </row>
    <row r="24" spans="1:13" x14ac:dyDescent="0.25">
      <c r="A24" s="29">
        <f t="shared" si="2"/>
        <v>7</v>
      </c>
      <c r="B24" s="30" t="s">
        <v>107</v>
      </c>
      <c r="C24" s="18">
        <f t="shared" si="3"/>
        <v>12</v>
      </c>
      <c r="D24" s="18"/>
      <c r="E24" s="18">
        <f>H24*E11/12</f>
        <v>7.9500000000000001E-2</v>
      </c>
      <c r="F24" s="18">
        <f t="shared" si="0"/>
        <v>7.9500000000000001E-2</v>
      </c>
      <c r="G24" s="18">
        <v>0</v>
      </c>
      <c r="H24" s="18">
        <f t="shared" si="1"/>
        <v>12</v>
      </c>
      <c r="I24" s="18">
        <f>F24+G24</f>
        <v>7.9500000000000001E-2</v>
      </c>
      <c r="J24" s="18"/>
      <c r="K24" s="18"/>
      <c r="L24" s="18"/>
      <c r="M24" s="18"/>
    </row>
    <row r="25" spans="1:13" x14ac:dyDescent="0.25">
      <c r="A25" s="29">
        <f t="shared" si="2"/>
        <v>8</v>
      </c>
      <c r="B25" s="30" t="s">
        <v>108</v>
      </c>
      <c r="C25" s="18">
        <f t="shared" si="3"/>
        <v>12</v>
      </c>
      <c r="D25" s="18"/>
      <c r="E25" s="18">
        <f>H25*E11/12</f>
        <v>7.9500000000000001E-2</v>
      </c>
      <c r="F25" s="18">
        <f t="shared" si="0"/>
        <v>7.9500000000000001E-2</v>
      </c>
      <c r="G25" s="18">
        <v>0</v>
      </c>
      <c r="H25" s="18">
        <f t="shared" si="1"/>
        <v>12</v>
      </c>
      <c r="I25" s="18">
        <f>G25+F25</f>
        <v>7.9500000000000001E-2</v>
      </c>
      <c r="J25" s="18"/>
      <c r="K25" s="18"/>
      <c r="L25" s="18"/>
      <c r="M25" s="18"/>
    </row>
    <row r="26" spans="1:13" x14ac:dyDescent="0.25">
      <c r="A26" s="29">
        <f t="shared" si="2"/>
        <v>9</v>
      </c>
      <c r="B26" s="30" t="s">
        <v>109</v>
      </c>
      <c r="C26" s="18">
        <f t="shared" si="3"/>
        <v>12</v>
      </c>
      <c r="D26" s="18"/>
      <c r="E26" s="18">
        <f>H26*E11/12</f>
        <v>7.9500000000000001E-2</v>
      </c>
      <c r="F26" s="18">
        <f t="shared" si="0"/>
        <v>7.9500000000000001E-2</v>
      </c>
      <c r="G26" s="18">
        <v>0</v>
      </c>
      <c r="H26" s="18">
        <f t="shared" si="1"/>
        <v>12</v>
      </c>
      <c r="I26" s="18">
        <f>F26+G26</f>
        <v>7.9500000000000001E-2</v>
      </c>
      <c r="J26" s="18"/>
      <c r="K26" s="18"/>
      <c r="L26" s="18"/>
      <c r="M26" s="17"/>
    </row>
    <row r="27" spans="1:13" x14ac:dyDescent="0.25">
      <c r="A27" s="29">
        <f t="shared" si="2"/>
        <v>10</v>
      </c>
      <c r="B27" s="30" t="s">
        <v>110</v>
      </c>
      <c r="C27" s="18">
        <f t="shared" si="3"/>
        <v>12</v>
      </c>
      <c r="D27" s="18"/>
      <c r="E27" s="18">
        <f>H27*E11/12</f>
        <v>7.9500000000000001E-2</v>
      </c>
      <c r="F27" s="18">
        <f t="shared" si="0"/>
        <v>7.9500000000000001E-2</v>
      </c>
      <c r="G27" s="18">
        <v>0</v>
      </c>
      <c r="H27" s="18">
        <f t="shared" ref="H27:H35" si="4">C27-G27+D27</f>
        <v>12</v>
      </c>
      <c r="I27" s="18">
        <f>G27+F27</f>
        <v>7.9500000000000001E-2</v>
      </c>
      <c r="J27" s="18"/>
      <c r="K27" s="18"/>
      <c r="L27" s="18"/>
      <c r="M27" s="18"/>
    </row>
    <row r="28" spans="1:13" x14ac:dyDescent="0.25">
      <c r="A28" s="29">
        <f t="shared" si="2"/>
        <v>11</v>
      </c>
      <c r="B28" s="30" t="s">
        <v>111</v>
      </c>
      <c r="C28" s="18">
        <f t="shared" si="3"/>
        <v>12</v>
      </c>
      <c r="D28" s="18"/>
      <c r="E28" s="18">
        <f>C28*E11/12</f>
        <v>7.9500000000000001E-2</v>
      </c>
      <c r="F28" s="18">
        <f t="shared" si="0"/>
        <v>7.9500000000000001E-2</v>
      </c>
      <c r="G28" s="18">
        <v>0</v>
      </c>
      <c r="H28" s="18">
        <f t="shared" si="4"/>
        <v>12</v>
      </c>
      <c r="I28" s="18">
        <f>F28+G28</f>
        <v>7.9500000000000001E-2</v>
      </c>
      <c r="J28" s="18"/>
      <c r="K28" s="18"/>
      <c r="L28" s="18"/>
      <c r="M28" s="17"/>
    </row>
    <row r="29" spans="1:13" x14ac:dyDescent="0.25">
      <c r="A29" s="29">
        <f t="shared" si="2"/>
        <v>12</v>
      </c>
      <c r="B29" s="30" t="s">
        <v>112</v>
      </c>
      <c r="C29" s="18">
        <f t="shared" si="3"/>
        <v>12</v>
      </c>
      <c r="D29" s="18"/>
      <c r="E29" s="18">
        <f>C29*E11/12</f>
        <v>7.9500000000000001E-2</v>
      </c>
      <c r="F29" s="18">
        <f t="shared" si="0"/>
        <v>7.9500000000000001E-2</v>
      </c>
      <c r="G29" s="18">
        <v>0</v>
      </c>
      <c r="H29" s="18">
        <f t="shared" si="4"/>
        <v>12</v>
      </c>
      <c r="I29" s="18">
        <f>G29+F29</f>
        <v>7.9500000000000001E-2</v>
      </c>
      <c r="J29" s="18"/>
      <c r="K29" s="18"/>
      <c r="L29" s="18"/>
      <c r="M29" s="17"/>
    </row>
    <row r="30" spans="1:13" x14ac:dyDescent="0.25">
      <c r="A30" s="29">
        <f t="shared" si="2"/>
        <v>13</v>
      </c>
      <c r="B30" s="30" t="s">
        <v>113</v>
      </c>
      <c r="C30" s="18">
        <f t="shared" si="3"/>
        <v>12</v>
      </c>
      <c r="D30" s="18"/>
      <c r="E30" s="18">
        <f>C30*E11/12</f>
        <v>7.9500000000000001E-2</v>
      </c>
      <c r="F30" s="18">
        <f t="shared" si="0"/>
        <v>7.9500000000000001E-2</v>
      </c>
      <c r="G30" s="18">
        <v>0</v>
      </c>
      <c r="H30" s="18">
        <f t="shared" si="4"/>
        <v>12</v>
      </c>
      <c r="I30" s="18">
        <f>F30+G30</f>
        <v>7.9500000000000001E-2</v>
      </c>
      <c r="J30" s="18"/>
      <c r="K30" s="18"/>
      <c r="L30" s="18"/>
      <c r="M30" s="18"/>
    </row>
    <row r="31" spans="1:13" x14ac:dyDescent="0.25">
      <c r="A31" s="29">
        <f t="shared" si="2"/>
        <v>14</v>
      </c>
      <c r="B31" s="30" t="s">
        <v>114</v>
      </c>
      <c r="C31" s="18">
        <f t="shared" si="3"/>
        <v>12</v>
      </c>
      <c r="D31" s="18"/>
      <c r="E31" s="18">
        <f>C31*E11/12</f>
        <v>7.9500000000000001E-2</v>
      </c>
      <c r="F31" s="18">
        <f t="shared" si="0"/>
        <v>7.9500000000000001E-2</v>
      </c>
      <c r="G31" s="18">
        <v>0</v>
      </c>
      <c r="H31" s="18">
        <f t="shared" si="4"/>
        <v>12</v>
      </c>
      <c r="I31" s="18">
        <f>G31+F31</f>
        <v>7.9500000000000001E-2</v>
      </c>
      <c r="J31" s="18" t="str">
        <f>B31</f>
        <v>March-24</v>
      </c>
      <c r="K31" s="18">
        <f>SUM(E20:E31)</f>
        <v>0.87450000000000006</v>
      </c>
      <c r="L31" s="18">
        <f>SUM(G20:G30)</f>
        <v>0</v>
      </c>
      <c r="M31" s="18">
        <f>K31+L31</f>
        <v>0.87450000000000006</v>
      </c>
    </row>
    <row r="32" spans="1:13" x14ac:dyDescent="0.25">
      <c r="A32" s="29">
        <f t="shared" si="2"/>
        <v>15</v>
      </c>
      <c r="B32" s="30" t="s">
        <v>121</v>
      </c>
      <c r="C32" s="18">
        <f t="shared" si="3"/>
        <v>12</v>
      </c>
      <c r="D32" s="18"/>
      <c r="E32" s="18">
        <f>C32*E11/12</f>
        <v>7.9500000000000001E-2</v>
      </c>
      <c r="F32" s="18">
        <f t="shared" si="0"/>
        <v>7.9500000000000001E-2</v>
      </c>
      <c r="G32" s="18">
        <v>0.1</v>
      </c>
      <c r="H32" s="18">
        <f t="shared" si="4"/>
        <v>11.9</v>
      </c>
      <c r="I32" s="18">
        <f>F32+G32</f>
        <v>0.17949999999999999</v>
      </c>
      <c r="J32" s="18"/>
      <c r="K32" s="18"/>
      <c r="L32" s="18"/>
      <c r="M32" s="18"/>
    </row>
    <row r="33" spans="1:13" x14ac:dyDescent="0.25">
      <c r="A33" s="29">
        <f t="shared" si="2"/>
        <v>16</v>
      </c>
      <c r="B33" s="30" t="s">
        <v>122</v>
      </c>
      <c r="C33" s="18">
        <f t="shared" si="3"/>
        <v>11.9</v>
      </c>
      <c r="D33" s="18"/>
      <c r="E33" s="18">
        <f>C33*E11/12</f>
        <v>7.8837500000000005E-2</v>
      </c>
      <c r="F33" s="18">
        <f t="shared" si="0"/>
        <v>7.8837500000000005E-2</v>
      </c>
      <c r="G33" s="18">
        <v>0.1</v>
      </c>
      <c r="H33" s="18">
        <f t="shared" si="4"/>
        <v>11.8</v>
      </c>
      <c r="I33" s="18">
        <f>G33+F33</f>
        <v>0.17883750000000001</v>
      </c>
      <c r="J33" s="18"/>
      <c r="K33" s="18"/>
      <c r="L33" s="18"/>
      <c r="M33" s="18"/>
    </row>
    <row r="34" spans="1:13" x14ac:dyDescent="0.25">
      <c r="A34" s="29">
        <f t="shared" si="2"/>
        <v>17</v>
      </c>
      <c r="B34" s="30" t="s">
        <v>123</v>
      </c>
      <c r="C34" s="18">
        <f t="shared" si="3"/>
        <v>11.8</v>
      </c>
      <c r="D34" s="18"/>
      <c r="E34" s="18">
        <f>C34*E11/12</f>
        <v>7.8175000000000008E-2</v>
      </c>
      <c r="F34" s="18">
        <f t="shared" si="0"/>
        <v>7.8175000000000008E-2</v>
      </c>
      <c r="G34" s="18">
        <v>0.1</v>
      </c>
      <c r="H34" s="18">
        <f t="shared" si="4"/>
        <v>11.700000000000001</v>
      </c>
      <c r="I34" s="18">
        <f>F34+G34</f>
        <v>0.17817500000000003</v>
      </c>
      <c r="J34" s="18"/>
      <c r="K34" s="18"/>
      <c r="L34" s="18"/>
      <c r="M34" s="17"/>
    </row>
    <row r="35" spans="1:13" x14ac:dyDescent="0.25">
      <c r="A35" s="29">
        <f t="shared" si="2"/>
        <v>18</v>
      </c>
      <c r="B35" s="30" t="s">
        <v>124</v>
      </c>
      <c r="C35" s="18">
        <f t="shared" si="3"/>
        <v>11.700000000000001</v>
      </c>
      <c r="D35" s="18"/>
      <c r="E35" s="18">
        <f>C35*E11/12</f>
        <v>7.7512500000000012E-2</v>
      </c>
      <c r="F35" s="18">
        <f t="shared" si="0"/>
        <v>7.7512500000000012E-2</v>
      </c>
      <c r="G35" s="18">
        <v>0.1</v>
      </c>
      <c r="H35" s="18">
        <f t="shared" si="4"/>
        <v>11.600000000000001</v>
      </c>
      <c r="I35" s="18">
        <f>G35+F35</f>
        <v>0.17751250000000002</v>
      </c>
      <c r="J35" s="18"/>
      <c r="K35" s="18"/>
      <c r="L35" s="18"/>
      <c r="M35" s="18"/>
    </row>
    <row r="36" spans="1:13" x14ac:dyDescent="0.25">
      <c r="A36" s="29">
        <f t="shared" si="2"/>
        <v>19</v>
      </c>
      <c r="B36" s="30" t="s">
        <v>125</v>
      </c>
      <c r="C36" s="18">
        <f t="shared" si="3"/>
        <v>11.600000000000001</v>
      </c>
      <c r="D36" s="18"/>
      <c r="E36" s="18">
        <f>C36*E11/12</f>
        <v>7.6850000000000016E-2</v>
      </c>
      <c r="F36" s="18">
        <f t="shared" si="0"/>
        <v>7.6850000000000016E-2</v>
      </c>
      <c r="G36" s="18">
        <v>0.1</v>
      </c>
      <c r="H36" s="18">
        <f t="shared" ref="H36:H83" si="5">C36-G36</f>
        <v>11.500000000000002</v>
      </c>
      <c r="I36" s="18">
        <f>F36+G36</f>
        <v>0.17685000000000001</v>
      </c>
      <c r="J36" s="18"/>
      <c r="K36" s="18"/>
      <c r="L36" s="18"/>
      <c r="M36" s="18"/>
    </row>
    <row r="37" spans="1:13" x14ac:dyDescent="0.25">
      <c r="A37" s="29">
        <f t="shared" si="2"/>
        <v>20</v>
      </c>
      <c r="B37" s="30" t="s">
        <v>126</v>
      </c>
      <c r="C37" s="18">
        <f t="shared" si="3"/>
        <v>11.500000000000002</v>
      </c>
      <c r="D37" s="18"/>
      <c r="E37" s="18">
        <f>C37*E11/12</f>
        <v>7.6187500000000005E-2</v>
      </c>
      <c r="F37" s="18">
        <f t="shared" si="0"/>
        <v>7.6187500000000005E-2</v>
      </c>
      <c r="G37" s="18">
        <v>0.1</v>
      </c>
      <c r="H37" s="18">
        <f t="shared" si="5"/>
        <v>11.400000000000002</v>
      </c>
      <c r="I37" s="18">
        <f>G37+F37</f>
        <v>0.1761875</v>
      </c>
      <c r="J37" s="18"/>
      <c r="K37" s="18"/>
      <c r="L37" s="18"/>
      <c r="M37" s="17"/>
    </row>
    <row r="38" spans="1:13" x14ac:dyDescent="0.25">
      <c r="A38" s="29">
        <f t="shared" si="2"/>
        <v>21</v>
      </c>
      <c r="B38" s="30" t="s">
        <v>127</v>
      </c>
      <c r="C38" s="18">
        <f t="shared" si="3"/>
        <v>11.400000000000002</v>
      </c>
      <c r="D38" s="18"/>
      <c r="E38" s="18">
        <f>C38*E11/12</f>
        <v>7.5525000000000023E-2</v>
      </c>
      <c r="F38" s="18">
        <f t="shared" si="0"/>
        <v>7.5525000000000023E-2</v>
      </c>
      <c r="G38" s="18">
        <v>0.1</v>
      </c>
      <c r="H38" s="18">
        <f t="shared" si="5"/>
        <v>11.300000000000002</v>
      </c>
      <c r="I38" s="18">
        <f>F38+G38</f>
        <v>0.17552500000000004</v>
      </c>
      <c r="J38" s="18"/>
      <c r="K38" s="18"/>
      <c r="L38" s="18"/>
      <c r="M38" s="18"/>
    </row>
    <row r="39" spans="1:13" x14ac:dyDescent="0.25">
      <c r="A39" s="29">
        <f t="shared" si="2"/>
        <v>22</v>
      </c>
      <c r="B39" s="30" t="s">
        <v>128</v>
      </c>
      <c r="C39" s="18">
        <f t="shared" si="3"/>
        <v>11.300000000000002</v>
      </c>
      <c r="D39" s="18"/>
      <c r="E39" s="18">
        <f>C39*E11/12</f>
        <v>7.4862500000000012E-2</v>
      </c>
      <c r="F39" s="18">
        <f t="shared" si="0"/>
        <v>7.4862500000000012E-2</v>
      </c>
      <c r="G39" s="18">
        <v>0.1</v>
      </c>
      <c r="H39" s="18">
        <f t="shared" si="5"/>
        <v>11.200000000000003</v>
      </c>
      <c r="I39" s="18">
        <f>G39+F39</f>
        <v>0.17486250000000003</v>
      </c>
      <c r="J39" s="18"/>
      <c r="K39" s="18"/>
      <c r="L39" s="18"/>
      <c r="M39" s="18"/>
    </row>
    <row r="40" spans="1:13" x14ac:dyDescent="0.25">
      <c r="A40" s="29">
        <f t="shared" si="2"/>
        <v>23</v>
      </c>
      <c r="B40" s="30" t="s">
        <v>129</v>
      </c>
      <c r="C40" s="18">
        <f t="shared" si="3"/>
        <v>11.200000000000003</v>
      </c>
      <c r="D40" s="18"/>
      <c r="E40" s="18">
        <f>C40*E11/12</f>
        <v>7.4200000000000016E-2</v>
      </c>
      <c r="F40" s="18">
        <f t="shared" si="0"/>
        <v>7.4200000000000016E-2</v>
      </c>
      <c r="G40" s="18">
        <v>0.1</v>
      </c>
      <c r="H40" s="18">
        <f t="shared" si="5"/>
        <v>11.100000000000003</v>
      </c>
      <c r="I40" s="18">
        <f>F40+G40</f>
        <v>0.17420000000000002</v>
      </c>
      <c r="J40" s="18"/>
      <c r="K40" s="18"/>
      <c r="L40" s="18"/>
      <c r="M40" s="17"/>
    </row>
    <row r="41" spans="1:13" x14ac:dyDescent="0.25">
      <c r="A41" s="29">
        <f t="shared" si="2"/>
        <v>24</v>
      </c>
      <c r="B41" s="30" t="s">
        <v>130</v>
      </c>
      <c r="C41" s="18">
        <f t="shared" si="3"/>
        <v>11.100000000000003</v>
      </c>
      <c r="D41" s="18"/>
      <c r="E41" s="18">
        <f>C41*E11/12</f>
        <v>7.353750000000002E-2</v>
      </c>
      <c r="F41" s="18">
        <f t="shared" si="0"/>
        <v>7.353750000000002E-2</v>
      </c>
      <c r="G41" s="18">
        <v>0.1</v>
      </c>
      <c r="H41" s="18">
        <f t="shared" si="5"/>
        <v>11.000000000000004</v>
      </c>
      <c r="I41" s="18">
        <f>G41+F41</f>
        <v>0.17353750000000001</v>
      </c>
      <c r="J41" s="18"/>
      <c r="K41" s="18"/>
      <c r="L41" s="18"/>
      <c r="M41" s="17"/>
    </row>
    <row r="42" spans="1:13" x14ac:dyDescent="0.25">
      <c r="A42" s="29">
        <f t="shared" si="2"/>
        <v>25</v>
      </c>
      <c r="B42" s="30" t="s">
        <v>131</v>
      </c>
      <c r="C42" s="18">
        <f t="shared" si="3"/>
        <v>11.000000000000004</v>
      </c>
      <c r="D42" s="18"/>
      <c r="E42" s="18">
        <f>C42*E11/12</f>
        <v>7.2875000000000023E-2</v>
      </c>
      <c r="F42" s="18">
        <f t="shared" si="0"/>
        <v>7.2875000000000023E-2</v>
      </c>
      <c r="G42" s="18">
        <v>0.1</v>
      </c>
      <c r="H42" s="18">
        <f t="shared" si="5"/>
        <v>10.900000000000004</v>
      </c>
      <c r="I42" s="18">
        <f>F42+G42</f>
        <v>0.17287500000000003</v>
      </c>
      <c r="J42" s="18"/>
      <c r="K42" s="18"/>
      <c r="L42" s="18"/>
      <c r="M42" s="18"/>
    </row>
    <row r="43" spans="1:13" x14ac:dyDescent="0.25">
      <c r="A43" s="29">
        <f t="shared" si="2"/>
        <v>26</v>
      </c>
      <c r="B43" s="30" t="s">
        <v>132</v>
      </c>
      <c r="C43" s="18">
        <f t="shared" si="3"/>
        <v>10.900000000000004</v>
      </c>
      <c r="D43" s="18"/>
      <c r="E43" s="18">
        <f>C43*E11/12</f>
        <v>7.2212500000000027E-2</v>
      </c>
      <c r="F43" s="18">
        <f t="shared" si="0"/>
        <v>7.2212500000000027E-2</v>
      </c>
      <c r="G43" s="18">
        <v>0.1</v>
      </c>
      <c r="H43" s="18">
        <f t="shared" si="5"/>
        <v>10.800000000000004</v>
      </c>
      <c r="I43" s="18">
        <f>G43+F43</f>
        <v>0.17221250000000005</v>
      </c>
      <c r="J43" s="18" t="str">
        <f>B43</f>
        <v>March-25</v>
      </c>
      <c r="K43" s="18">
        <f>SUM(E32:E43)</f>
        <v>0.91027500000000028</v>
      </c>
      <c r="L43" s="18">
        <f>SUM(G32:G43)</f>
        <v>1.2</v>
      </c>
      <c r="M43" s="18">
        <f>K43+L43</f>
        <v>2.1102750000000001</v>
      </c>
    </row>
    <row r="44" spans="1:13" x14ac:dyDescent="0.25">
      <c r="A44" s="29">
        <f t="shared" si="2"/>
        <v>27</v>
      </c>
      <c r="B44" s="30" t="s">
        <v>133</v>
      </c>
      <c r="C44" s="18">
        <f t="shared" si="3"/>
        <v>10.800000000000004</v>
      </c>
      <c r="D44" s="18"/>
      <c r="E44" s="18">
        <f>C44*E11/12</f>
        <v>7.155000000000003E-2</v>
      </c>
      <c r="F44" s="18">
        <f t="shared" si="0"/>
        <v>7.155000000000003E-2</v>
      </c>
      <c r="G44" s="18">
        <v>0.12</v>
      </c>
      <c r="H44" s="18">
        <f t="shared" si="5"/>
        <v>10.680000000000005</v>
      </c>
      <c r="I44" s="18">
        <f>F44+G44</f>
        <v>0.19155000000000003</v>
      </c>
      <c r="J44" s="18"/>
      <c r="K44" s="18"/>
      <c r="L44" s="18"/>
      <c r="M44" s="18"/>
    </row>
    <row r="45" spans="1:13" x14ac:dyDescent="0.25">
      <c r="A45" s="29">
        <f t="shared" si="2"/>
        <v>28</v>
      </c>
      <c r="B45" s="30" t="s">
        <v>134</v>
      </c>
      <c r="C45" s="18">
        <f t="shared" si="3"/>
        <v>10.680000000000005</v>
      </c>
      <c r="D45" s="18"/>
      <c r="E45" s="18">
        <f>C45*E11/12</f>
        <v>7.0755000000000026E-2</v>
      </c>
      <c r="F45" s="18">
        <f t="shared" si="0"/>
        <v>7.0755000000000026E-2</v>
      </c>
      <c r="G45" s="18">
        <v>0.12</v>
      </c>
      <c r="H45" s="18">
        <f t="shared" si="5"/>
        <v>10.560000000000006</v>
      </c>
      <c r="I45" s="18">
        <f>G45+F45</f>
        <v>0.19075500000000001</v>
      </c>
      <c r="J45" s="18"/>
      <c r="K45" s="18"/>
      <c r="L45" s="18"/>
      <c r="M45" s="18"/>
    </row>
    <row r="46" spans="1:13" x14ac:dyDescent="0.25">
      <c r="A46" s="29">
        <f t="shared" si="2"/>
        <v>29</v>
      </c>
      <c r="B46" s="30" t="s">
        <v>135</v>
      </c>
      <c r="C46" s="18">
        <f t="shared" si="3"/>
        <v>10.560000000000006</v>
      </c>
      <c r="D46" s="18"/>
      <c r="E46" s="18">
        <f>C46*E11/12</f>
        <v>6.9960000000000036E-2</v>
      </c>
      <c r="F46" s="18">
        <f t="shared" si="0"/>
        <v>6.9960000000000036E-2</v>
      </c>
      <c r="G46" s="18">
        <v>0.12</v>
      </c>
      <c r="H46" s="18">
        <f t="shared" si="5"/>
        <v>10.440000000000007</v>
      </c>
      <c r="I46" s="18">
        <f>F46+G46</f>
        <v>0.18996000000000002</v>
      </c>
      <c r="J46" s="18"/>
      <c r="K46" s="18"/>
      <c r="L46" s="18"/>
      <c r="M46" s="18"/>
    </row>
    <row r="47" spans="1:13" x14ac:dyDescent="0.25">
      <c r="A47" s="29">
        <f t="shared" si="2"/>
        <v>30</v>
      </c>
      <c r="B47" s="30" t="s">
        <v>136</v>
      </c>
      <c r="C47" s="18">
        <f t="shared" si="3"/>
        <v>10.440000000000007</v>
      </c>
      <c r="D47" s="18"/>
      <c r="E47" s="18">
        <f>C47*E11/12</f>
        <v>6.9165000000000046E-2</v>
      </c>
      <c r="F47" s="18">
        <f t="shared" si="0"/>
        <v>6.9165000000000046E-2</v>
      </c>
      <c r="G47" s="18">
        <v>0.12</v>
      </c>
      <c r="H47" s="18">
        <f t="shared" si="5"/>
        <v>10.320000000000007</v>
      </c>
      <c r="I47" s="18">
        <f>G47+F47</f>
        <v>0.18916500000000003</v>
      </c>
      <c r="J47" s="18"/>
      <c r="K47" s="18"/>
      <c r="L47" s="18"/>
      <c r="M47" s="18"/>
    </row>
    <row r="48" spans="1:13" x14ac:dyDescent="0.25">
      <c r="A48" s="29">
        <f t="shared" si="2"/>
        <v>31</v>
      </c>
      <c r="B48" s="30" t="s">
        <v>137</v>
      </c>
      <c r="C48" s="18">
        <f t="shared" si="3"/>
        <v>10.320000000000007</v>
      </c>
      <c r="D48" s="18"/>
      <c r="E48" s="18">
        <f>C48*E11/12</f>
        <v>6.8370000000000056E-2</v>
      </c>
      <c r="F48" s="18">
        <f t="shared" si="0"/>
        <v>6.8370000000000056E-2</v>
      </c>
      <c r="G48" s="18">
        <v>0.12</v>
      </c>
      <c r="H48" s="18">
        <f t="shared" si="5"/>
        <v>10.200000000000008</v>
      </c>
      <c r="I48" s="18">
        <f>F48+G48</f>
        <v>0.18837000000000004</v>
      </c>
      <c r="J48" s="18"/>
      <c r="K48" s="18"/>
      <c r="L48" s="18"/>
      <c r="M48" s="18"/>
    </row>
    <row r="49" spans="1:13" x14ac:dyDescent="0.25">
      <c r="A49" s="29">
        <f t="shared" si="2"/>
        <v>32</v>
      </c>
      <c r="B49" s="30" t="s">
        <v>138</v>
      </c>
      <c r="C49" s="18">
        <f t="shared" si="3"/>
        <v>10.200000000000008</v>
      </c>
      <c r="D49" s="18"/>
      <c r="E49" s="18">
        <f>C49*E11/12</f>
        <v>6.7575000000000052E-2</v>
      </c>
      <c r="F49" s="18">
        <f t="shared" si="0"/>
        <v>6.7575000000000052E-2</v>
      </c>
      <c r="G49" s="18">
        <v>0.12</v>
      </c>
      <c r="H49" s="18">
        <f t="shared" si="5"/>
        <v>10.080000000000009</v>
      </c>
      <c r="I49" s="18">
        <f>G49+F49</f>
        <v>0.18757500000000005</v>
      </c>
      <c r="J49" s="18"/>
      <c r="K49" s="18"/>
      <c r="L49" s="18"/>
      <c r="M49" s="17"/>
    </row>
    <row r="50" spans="1:13" x14ac:dyDescent="0.25">
      <c r="A50" s="29">
        <f t="shared" si="2"/>
        <v>33</v>
      </c>
      <c r="B50" s="30" t="s">
        <v>139</v>
      </c>
      <c r="C50" s="18">
        <f t="shared" si="3"/>
        <v>10.080000000000009</v>
      </c>
      <c r="D50" s="18"/>
      <c r="E50" s="18">
        <f>C50*E11/12</f>
        <v>6.6780000000000062E-2</v>
      </c>
      <c r="F50" s="18">
        <f t="shared" si="0"/>
        <v>6.6780000000000062E-2</v>
      </c>
      <c r="G50" s="18">
        <v>0.12</v>
      </c>
      <c r="H50" s="18">
        <f t="shared" si="5"/>
        <v>9.9600000000000097</v>
      </c>
      <c r="I50" s="18">
        <f>F50+G50</f>
        <v>0.18678000000000006</v>
      </c>
      <c r="J50" s="18"/>
      <c r="K50" s="18"/>
      <c r="L50" s="18"/>
      <c r="M50" s="18"/>
    </row>
    <row r="51" spans="1:13" x14ac:dyDescent="0.25">
      <c r="A51" s="29">
        <f t="shared" si="2"/>
        <v>34</v>
      </c>
      <c r="B51" s="30" t="s">
        <v>140</v>
      </c>
      <c r="C51" s="18">
        <f t="shared" si="3"/>
        <v>9.9600000000000097</v>
      </c>
      <c r="D51" s="18"/>
      <c r="E51" s="18">
        <f>C51*E11/12</f>
        <v>6.5985000000000057E-2</v>
      </c>
      <c r="F51" s="18">
        <f t="shared" si="0"/>
        <v>6.5985000000000057E-2</v>
      </c>
      <c r="G51" s="18">
        <v>0.12</v>
      </c>
      <c r="H51" s="18">
        <f t="shared" si="5"/>
        <v>9.8400000000000105</v>
      </c>
      <c r="I51" s="18">
        <f>G51+F51</f>
        <v>0.18598500000000007</v>
      </c>
      <c r="J51" s="18"/>
      <c r="K51" s="18"/>
      <c r="L51" s="18"/>
      <c r="M51" s="18"/>
    </row>
    <row r="52" spans="1:13" x14ac:dyDescent="0.25">
      <c r="A52" s="29">
        <f t="shared" si="2"/>
        <v>35</v>
      </c>
      <c r="B52" s="30" t="s">
        <v>141</v>
      </c>
      <c r="C52" s="18">
        <f t="shared" si="3"/>
        <v>9.8400000000000105</v>
      </c>
      <c r="D52" s="18"/>
      <c r="E52" s="18">
        <f>C52*E11/12</f>
        <v>6.5190000000000067E-2</v>
      </c>
      <c r="F52" s="18">
        <f t="shared" si="0"/>
        <v>6.5190000000000067E-2</v>
      </c>
      <c r="G52" s="18">
        <v>0.12</v>
      </c>
      <c r="H52" s="18">
        <f t="shared" si="5"/>
        <v>9.7200000000000113</v>
      </c>
      <c r="I52" s="18">
        <f>F52+G52</f>
        <v>0.18519000000000008</v>
      </c>
      <c r="J52" s="18"/>
      <c r="K52" s="18"/>
      <c r="L52" s="18"/>
      <c r="M52" s="17"/>
    </row>
    <row r="53" spans="1:13" x14ac:dyDescent="0.25">
      <c r="A53" s="29">
        <f t="shared" si="2"/>
        <v>36</v>
      </c>
      <c r="B53" s="30" t="s">
        <v>142</v>
      </c>
      <c r="C53" s="18">
        <f t="shared" si="3"/>
        <v>9.7200000000000113</v>
      </c>
      <c r="D53" s="18"/>
      <c r="E53" s="18">
        <f>C53*E11/12</f>
        <v>6.4395000000000077E-2</v>
      </c>
      <c r="F53" s="18">
        <f t="shared" si="0"/>
        <v>6.4395000000000077E-2</v>
      </c>
      <c r="G53" s="18">
        <v>0.12</v>
      </c>
      <c r="H53" s="18">
        <f t="shared" si="5"/>
        <v>9.6000000000000121</v>
      </c>
      <c r="I53" s="18">
        <f>G53+F53</f>
        <v>0.18439500000000009</v>
      </c>
      <c r="J53" s="18"/>
      <c r="K53" s="18"/>
      <c r="L53" s="18"/>
      <c r="M53" s="17"/>
    </row>
    <row r="54" spans="1:13" x14ac:dyDescent="0.25">
      <c r="A54" s="29">
        <f t="shared" si="2"/>
        <v>37</v>
      </c>
      <c r="B54" s="30" t="s">
        <v>143</v>
      </c>
      <c r="C54" s="18">
        <f t="shared" si="3"/>
        <v>9.6000000000000121</v>
      </c>
      <c r="D54" s="18"/>
      <c r="E54" s="18">
        <f>C54*E11/12</f>
        <v>6.3600000000000087E-2</v>
      </c>
      <c r="F54" s="18">
        <f t="shared" si="0"/>
        <v>6.3600000000000087E-2</v>
      </c>
      <c r="G54" s="18">
        <v>0.12</v>
      </c>
      <c r="H54" s="18">
        <f t="shared" si="5"/>
        <v>9.4800000000000129</v>
      </c>
      <c r="I54" s="18">
        <f>F54+G54</f>
        <v>0.1836000000000001</v>
      </c>
      <c r="J54" s="18"/>
      <c r="K54" s="18"/>
      <c r="L54" s="18"/>
      <c r="M54" s="18"/>
    </row>
    <row r="55" spans="1:13" x14ac:dyDescent="0.25">
      <c r="A55" s="29">
        <f t="shared" si="2"/>
        <v>38</v>
      </c>
      <c r="B55" s="30" t="s">
        <v>144</v>
      </c>
      <c r="C55" s="18">
        <f t="shared" si="3"/>
        <v>9.4800000000000129</v>
      </c>
      <c r="D55" s="18"/>
      <c r="E55" s="18">
        <f>C55*E11/12</f>
        <v>6.2805000000000083E-2</v>
      </c>
      <c r="F55" s="18">
        <f t="shared" si="0"/>
        <v>6.2805000000000083E-2</v>
      </c>
      <c r="G55" s="18">
        <v>0.12</v>
      </c>
      <c r="H55" s="18">
        <f t="shared" si="5"/>
        <v>9.3600000000000136</v>
      </c>
      <c r="I55" s="18">
        <f>G55+F55</f>
        <v>0.18280500000000008</v>
      </c>
      <c r="J55" s="18" t="str">
        <f>B55</f>
        <v>March-26</v>
      </c>
      <c r="K55" s="18">
        <f>SUM(E44:E55)</f>
        <v>0.80613000000000068</v>
      </c>
      <c r="L55" s="18">
        <f>SUM(G44:G55)</f>
        <v>1.4400000000000004</v>
      </c>
      <c r="M55" s="18">
        <f>K55+L55</f>
        <v>2.2461300000000008</v>
      </c>
    </row>
    <row r="56" spans="1:13" x14ac:dyDescent="0.25">
      <c r="A56" s="29">
        <f t="shared" si="2"/>
        <v>39</v>
      </c>
      <c r="B56" s="30" t="s">
        <v>145</v>
      </c>
      <c r="C56" s="18">
        <f t="shared" si="3"/>
        <v>9.3600000000000136</v>
      </c>
      <c r="D56" s="18"/>
      <c r="E56" s="18">
        <f>C56*E11/12</f>
        <v>6.2010000000000093E-2</v>
      </c>
      <c r="F56" s="18">
        <f t="shared" si="0"/>
        <v>6.2010000000000093E-2</v>
      </c>
      <c r="G56" s="18">
        <v>0.15</v>
      </c>
      <c r="H56" s="18">
        <f t="shared" si="5"/>
        <v>9.2100000000000133</v>
      </c>
      <c r="I56" s="18">
        <f>F56+G56</f>
        <v>0.21201000000000009</v>
      </c>
      <c r="J56" s="18"/>
      <c r="K56" s="18"/>
      <c r="L56" s="18"/>
      <c r="M56" s="18"/>
    </row>
    <row r="57" spans="1:13" x14ac:dyDescent="0.25">
      <c r="A57" s="29">
        <f t="shared" si="2"/>
        <v>40</v>
      </c>
      <c r="B57" s="30" t="s">
        <v>146</v>
      </c>
      <c r="C57" s="18">
        <f t="shared" si="3"/>
        <v>9.2100000000000133</v>
      </c>
      <c r="D57" s="18"/>
      <c r="E57" s="18">
        <f>C57*E11/12</f>
        <v>6.1016250000000084E-2</v>
      </c>
      <c r="F57" s="18">
        <f t="shared" si="0"/>
        <v>6.1016250000000084E-2</v>
      </c>
      <c r="G57" s="18">
        <v>0.15</v>
      </c>
      <c r="H57" s="18">
        <f t="shared" si="5"/>
        <v>9.0600000000000129</v>
      </c>
      <c r="I57" s="18">
        <f>G57+F57</f>
        <v>0.21101625000000007</v>
      </c>
      <c r="J57" s="18"/>
      <c r="K57" s="18"/>
      <c r="L57" s="18"/>
      <c r="M57" s="18"/>
    </row>
    <row r="58" spans="1:13" x14ac:dyDescent="0.25">
      <c r="A58" s="29">
        <f t="shared" si="2"/>
        <v>41</v>
      </c>
      <c r="B58" s="30" t="s">
        <v>147</v>
      </c>
      <c r="C58" s="18">
        <f t="shared" si="3"/>
        <v>9.0600000000000129</v>
      </c>
      <c r="D58" s="18"/>
      <c r="E58" s="18">
        <f>C58*E11/12</f>
        <v>6.002250000000009E-2</v>
      </c>
      <c r="F58" s="18">
        <f t="shared" si="0"/>
        <v>6.002250000000009E-2</v>
      </c>
      <c r="G58" s="18">
        <v>0.15</v>
      </c>
      <c r="H58" s="18">
        <f t="shared" si="5"/>
        <v>8.9100000000000126</v>
      </c>
      <c r="I58" s="18">
        <f>F58+G58</f>
        <v>0.21002250000000008</v>
      </c>
      <c r="J58" s="18"/>
      <c r="K58" s="18"/>
      <c r="L58" s="18"/>
      <c r="M58" s="18"/>
    </row>
    <row r="59" spans="1:13" x14ac:dyDescent="0.25">
      <c r="A59" s="29">
        <f t="shared" si="2"/>
        <v>42</v>
      </c>
      <c r="B59" s="30" t="s">
        <v>148</v>
      </c>
      <c r="C59" s="18">
        <f t="shared" si="3"/>
        <v>8.9100000000000126</v>
      </c>
      <c r="D59" s="18"/>
      <c r="E59" s="18">
        <f>C59*E11/12</f>
        <v>5.9028750000000081E-2</v>
      </c>
      <c r="F59" s="18">
        <f t="shared" si="0"/>
        <v>5.9028750000000081E-2</v>
      </c>
      <c r="G59" s="18">
        <v>0.15</v>
      </c>
      <c r="H59" s="18">
        <f t="shared" si="5"/>
        <v>8.7600000000000122</v>
      </c>
      <c r="I59" s="18">
        <f>G59+F59</f>
        <v>0.20902875000000007</v>
      </c>
      <c r="J59" s="18"/>
      <c r="K59" s="18"/>
      <c r="L59" s="18"/>
      <c r="M59" s="18"/>
    </row>
    <row r="60" spans="1:13" x14ac:dyDescent="0.25">
      <c r="A60" s="29">
        <f t="shared" si="2"/>
        <v>43</v>
      </c>
      <c r="B60" s="30" t="s">
        <v>149</v>
      </c>
      <c r="C60" s="18">
        <f t="shared" si="3"/>
        <v>8.7600000000000122</v>
      </c>
      <c r="D60" s="18"/>
      <c r="E60" s="18">
        <f>C60*E11/12</f>
        <v>5.803500000000008E-2</v>
      </c>
      <c r="F60" s="18">
        <f t="shared" si="0"/>
        <v>5.803500000000008E-2</v>
      </c>
      <c r="G60" s="18">
        <v>0.15</v>
      </c>
      <c r="H60" s="18">
        <f t="shared" si="5"/>
        <v>8.6100000000000119</v>
      </c>
      <c r="I60" s="18">
        <f>F60+G60</f>
        <v>0.20803500000000008</v>
      </c>
      <c r="J60" s="18"/>
      <c r="K60" s="18"/>
      <c r="L60" s="18"/>
      <c r="M60" s="18"/>
    </row>
    <row r="61" spans="1:13" x14ac:dyDescent="0.25">
      <c r="A61" s="29">
        <f t="shared" si="2"/>
        <v>44</v>
      </c>
      <c r="B61" s="30" t="s">
        <v>150</v>
      </c>
      <c r="C61" s="18">
        <f t="shared" si="3"/>
        <v>8.6100000000000119</v>
      </c>
      <c r="D61" s="18"/>
      <c r="E61" s="18">
        <f>C61*E11/12</f>
        <v>5.7041250000000078E-2</v>
      </c>
      <c r="F61" s="18">
        <f t="shared" si="0"/>
        <v>5.7041250000000078E-2</v>
      </c>
      <c r="G61" s="18">
        <v>0.15</v>
      </c>
      <c r="H61" s="18">
        <f t="shared" si="5"/>
        <v>8.4600000000000115</v>
      </c>
      <c r="I61" s="18">
        <f>G61+F61</f>
        <v>0.20704125000000007</v>
      </c>
      <c r="J61" s="18"/>
      <c r="K61" s="18"/>
      <c r="L61" s="18"/>
      <c r="M61" s="17"/>
    </row>
    <row r="62" spans="1:13" x14ac:dyDescent="0.25">
      <c r="A62" s="29">
        <f t="shared" si="2"/>
        <v>45</v>
      </c>
      <c r="B62" s="30" t="s">
        <v>151</v>
      </c>
      <c r="C62" s="18">
        <f t="shared" si="3"/>
        <v>8.4600000000000115</v>
      </c>
      <c r="D62" s="18"/>
      <c r="E62" s="18">
        <f>C62*E11/12</f>
        <v>5.6047500000000076E-2</v>
      </c>
      <c r="F62" s="18">
        <f t="shared" si="0"/>
        <v>5.6047500000000076E-2</v>
      </c>
      <c r="G62" s="18">
        <v>0.15</v>
      </c>
      <c r="H62" s="18">
        <f t="shared" si="5"/>
        <v>8.3100000000000112</v>
      </c>
      <c r="I62" s="18">
        <f>F62+G62</f>
        <v>0.20604750000000008</v>
      </c>
      <c r="J62" s="18"/>
      <c r="K62" s="18"/>
      <c r="L62" s="18"/>
      <c r="M62" s="18"/>
    </row>
    <row r="63" spans="1:13" x14ac:dyDescent="0.25">
      <c r="A63" s="29">
        <f t="shared" si="2"/>
        <v>46</v>
      </c>
      <c r="B63" s="30" t="s">
        <v>152</v>
      </c>
      <c r="C63" s="18">
        <f t="shared" si="3"/>
        <v>8.3100000000000112</v>
      </c>
      <c r="D63" s="18"/>
      <c r="E63" s="18">
        <f>C63*E11/12</f>
        <v>5.5053750000000075E-2</v>
      </c>
      <c r="F63" s="18">
        <f t="shared" si="0"/>
        <v>5.5053750000000075E-2</v>
      </c>
      <c r="G63" s="18">
        <v>0.15</v>
      </c>
      <c r="H63" s="18">
        <f t="shared" si="5"/>
        <v>8.1600000000000108</v>
      </c>
      <c r="I63" s="18">
        <f>G63+F63</f>
        <v>0.20505375000000006</v>
      </c>
      <c r="J63" s="18"/>
      <c r="K63" s="18"/>
      <c r="L63" s="18"/>
      <c r="M63" s="18"/>
    </row>
    <row r="64" spans="1:13" x14ac:dyDescent="0.25">
      <c r="A64" s="29">
        <f t="shared" si="2"/>
        <v>47</v>
      </c>
      <c r="B64" s="30" t="s">
        <v>153</v>
      </c>
      <c r="C64" s="18">
        <f t="shared" si="3"/>
        <v>8.1600000000000108</v>
      </c>
      <c r="D64" s="18"/>
      <c r="E64" s="18">
        <f>C64*E11/12</f>
        <v>5.4060000000000073E-2</v>
      </c>
      <c r="F64" s="18">
        <f t="shared" si="0"/>
        <v>5.4060000000000073E-2</v>
      </c>
      <c r="G64" s="18">
        <v>0.15</v>
      </c>
      <c r="H64" s="18">
        <f t="shared" si="5"/>
        <v>8.0100000000000104</v>
      </c>
      <c r="I64" s="18">
        <f>F64+G64</f>
        <v>0.20406000000000007</v>
      </c>
      <c r="J64" s="18"/>
      <c r="K64" s="18"/>
      <c r="L64" s="18"/>
      <c r="M64" s="17"/>
    </row>
    <row r="65" spans="1:13" x14ac:dyDescent="0.25">
      <c r="A65" s="29">
        <f t="shared" si="2"/>
        <v>48</v>
      </c>
      <c r="B65" s="30" t="s">
        <v>154</v>
      </c>
      <c r="C65" s="18">
        <f t="shared" si="3"/>
        <v>8.0100000000000104</v>
      </c>
      <c r="D65" s="18"/>
      <c r="E65" s="18">
        <f>C65*E11/12</f>
        <v>5.3066250000000072E-2</v>
      </c>
      <c r="F65" s="18">
        <f t="shared" si="0"/>
        <v>5.3066250000000072E-2</v>
      </c>
      <c r="G65" s="18">
        <v>0.15</v>
      </c>
      <c r="H65" s="18">
        <f t="shared" si="5"/>
        <v>7.8600000000000101</v>
      </c>
      <c r="I65" s="18">
        <f>G65+F65</f>
        <v>0.20306625000000006</v>
      </c>
      <c r="J65" s="18"/>
      <c r="K65" s="18"/>
      <c r="L65" s="18"/>
      <c r="M65" s="17"/>
    </row>
    <row r="66" spans="1:13" x14ac:dyDescent="0.25">
      <c r="A66" s="29">
        <f t="shared" si="2"/>
        <v>49</v>
      </c>
      <c r="B66" s="30" t="s">
        <v>155</v>
      </c>
      <c r="C66" s="18">
        <f t="shared" si="3"/>
        <v>7.8600000000000101</v>
      </c>
      <c r="D66" s="18"/>
      <c r="E66" s="18">
        <f>C66*E11/12</f>
        <v>5.207250000000007E-2</v>
      </c>
      <c r="F66" s="18">
        <f t="shared" si="0"/>
        <v>5.207250000000007E-2</v>
      </c>
      <c r="G66" s="18">
        <v>0.15</v>
      </c>
      <c r="H66" s="18">
        <f t="shared" si="5"/>
        <v>7.7100000000000097</v>
      </c>
      <c r="I66" s="18">
        <f>F66+G66</f>
        <v>0.20207250000000007</v>
      </c>
      <c r="J66" s="18"/>
      <c r="K66" s="18"/>
      <c r="L66" s="18"/>
      <c r="M66" s="18"/>
    </row>
    <row r="67" spans="1:13" x14ac:dyDescent="0.25">
      <c r="A67" s="29">
        <f t="shared" si="2"/>
        <v>50</v>
      </c>
      <c r="B67" s="30" t="s">
        <v>156</v>
      </c>
      <c r="C67" s="18">
        <f t="shared" si="3"/>
        <v>7.7100000000000097</v>
      </c>
      <c r="D67" s="18"/>
      <c r="E67" s="18">
        <f>C67*E11/12</f>
        <v>5.1078750000000062E-2</v>
      </c>
      <c r="F67" s="18">
        <f t="shared" si="0"/>
        <v>5.1078750000000062E-2</v>
      </c>
      <c r="G67" s="18">
        <v>0.15</v>
      </c>
      <c r="H67" s="18">
        <f t="shared" si="5"/>
        <v>7.5600000000000094</v>
      </c>
      <c r="I67" s="18">
        <f>G67+F67</f>
        <v>0.20107875000000006</v>
      </c>
      <c r="J67" s="18" t="str">
        <f>B67</f>
        <v>March-27</v>
      </c>
      <c r="K67" s="18">
        <f>SUM(E56:E67)</f>
        <v>0.67853250000000098</v>
      </c>
      <c r="L67" s="18">
        <f>SUM(G56:G67)</f>
        <v>1.7999999999999996</v>
      </c>
      <c r="M67" s="18">
        <f>K67+L67</f>
        <v>2.4785325000000005</v>
      </c>
    </row>
    <row r="68" spans="1:13" x14ac:dyDescent="0.25">
      <c r="A68" s="29">
        <f t="shared" si="2"/>
        <v>51</v>
      </c>
      <c r="B68" s="30" t="s">
        <v>157</v>
      </c>
      <c r="C68" s="18">
        <f t="shared" si="3"/>
        <v>7.5600000000000094</v>
      </c>
      <c r="D68" s="18"/>
      <c r="E68" s="18">
        <f>C68*E11/12</f>
        <v>5.0085000000000067E-2</v>
      </c>
      <c r="F68" s="18">
        <f t="shared" si="0"/>
        <v>5.0085000000000067E-2</v>
      </c>
      <c r="G68" s="18">
        <v>0.18</v>
      </c>
      <c r="H68" s="18">
        <f t="shared" si="5"/>
        <v>7.3800000000000097</v>
      </c>
      <c r="I68" s="18">
        <f>F68+G68</f>
        <v>0.23008500000000007</v>
      </c>
      <c r="J68" s="18"/>
      <c r="K68" s="18"/>
      <c r="L68" s="18"/>
      <c r="M68" s="18"/>
    </row>
    <row r="69" spans="1:13" x14ac:dyDescent="0.25">
      <c r="A69" s="29">
        <f t="shared" si="2"/>
        <v>52</v>
      </c>
      <c r="B69" s="30" t="s">
        <v>158</v>
      </c>
      <c r="C69" s="18">
        <f t="shared" si="3"/>
        <v>7.3800000000000097</v>
      </c>
      <c r="D69" s="18"/>
      <c r="E69" s="18">
        <f>C69*E11/12</f>
        <v>4.8892500000000061E-2</v>
      </c>
      <c r="F69" s="18">
        <f t="shared" si="0"/>
        <v>4.8892500000000061E-2</v>
      </c>
      <c r="G69" s="18">
        <v>0.18</v>
      </c>
      <c r="H69" s="18">
        <f t="shared" si="5"/>
        <v>7.2000000000000099</v>
      </c>
      <c r="I69" s="18">
        <f>G69+F69</f>
        <v>0.22889250000000005</v>
      </c>
      <c r="J69" s="18"/>
      <c r="K69" s="18"/>
      <c r="L69" s="18"/>
      <c r="M69" s="18"/>
    </row>
    <row r="70" spans="1:13" x14ac:dyDescent="0.25">
      <c r="A70" s="29">
        <f t="shared" si="2"/>
        <v>53</v>
      </c>
      <c r="B70" s="30" t="s">
        <v>159</v>
      </c>
      <c r="C70" s="18">
        <f t="shared" si="3"/>
        <v>7.2000000000000099</v>
      </c>
      <c r="D70" s="18"/>
      <c r="E70" s="18">
        <f>C70*E11/12</f>
        <v>4.7700000000000069E-2</v>
      </c>
      <c r="F70" s="18">
        <f t="shared" si="0"/>
        <v>4.7700000000000069E-2</v>
      </c>
      <c r="G70" s="18">
        <v>0.18</v>
      </c>
      <c r="H70" s="18">
        <f t="shared" si="5"/>
        <v>7.0200000000000102</v>
      </c>
      <c r="I70" s="18">
        <f>F70+G70</f>
        <v>0.22770000000000007</v>
      </c>
      <c r="J70" s="18"/>
      <c r="K70" s="18"/>
      <c r="L70" s="18"/>
      <c r="M70" s="18"/>
    </row>
    <row r="71" spans="1:13" x14ac:dyDescent="0.25">
      <c r="A71" s="29">
        <f t="shared" si="2"/>
        <v>54</v>
      </c>
      <c r="B71" s="30" t="s">
        <v>160</v>
      </c>
      <c r="C71" s="18">
        <f t="shared" si="3"/>
        <v>7.0200000000000102</v>
      </c>
      <c r="D71" s="18"/>
      <c r="E71" s="18">
        <f>C71*E11/12</f>
        <v>4.650750000000007E-2</v>
      </c>
      <c r="F71" s="18">
        <f t="shared" si="0"/>
        <v>4.650750000000007E-2</v>
      </c>
      <c r="G71" s="18">
        <v>0.18</v>
      </c>
      <c r="H71" s="18">
        <f t="shared" si="5"/>
        <v>6.8400000000000105</v>
      </c>
      <c r="I71" s="18">
        <f>G71+F71</f>
        <v>0.22650750000000006</v>
      </c>
      <c r="J71" s="18"/>
      <c r="K71" s="18"/>
      <c r="L71" s="18"/>
      <c r="M71" s="18"/>
    </row>
    <row r="72" spans="1:13" x14ac:dyDescent="0.25">
      <c r="A72" s="29">
        <f t="shared" si="2"/>
        <v>55</v>
      </c>
      <c r="B72" s="30" t="s">
        <v>161</v>
      </c>
      <c r="C72" s="18">
        <f t="shared" si="3"/>
        <v>6.8400000000000105</v>
      </c>
      <c r="D72" s="18"/>
      <c r="E72" s="18">
        <f>C72*E11/12</f>
        <v>4.5315000000000071E-2</v>
      </c>
      <c r="F72" s="18">
        <f t="shared" si="0"/>
        <v>4.5315000000000071E-2</v>
      </c>
      <c r="G72" s="18">
        <v>0.18</v>
      </c>
      <c r="H72" s="18">
        <f t="shared" si="5"/>
        <v>6.6600000000000108</v>
      </c>
      <c r="I72" s="18">
        <f>F72+G72</f>
        <v>0.22531500000000007</v>
      </c>
      <c r="J72" s="18"/>
      <c r="K72" s="18"/>
      <c r="L72" s="18"/>
      <c r="M72" s="18"/>
    </row>
    <row r="73" spans="1:13" x14ac:dyDescent="0.25">
      <c r="A73" s="29">
        <f t="shared" si="2"/>
        <v>56</v>
      </c>
      <c r="B73" s="30" t="s">
        <v>162</v>
      </c>
      <c r="C73" s="18">
        <f t="shared" si="3"/>
        <v>6.6600000000000108</v>
      </c>
      <c r="D73" s="18"/>
      <c r="E73" s="18">
        <f>C73*E11/12</f>
        <v>4.4122500000000071E-2</v>
      </c>
      <c r="F73" s="18">
        <f t="shared" si="0"/>
        <v>4.4122500000000071E-2</v>
      </c>
      <c r="G73" s="18">
        <v>0.18</v>
      </c>
      <c r="H73" s="18">
        <f t="shared" si="5"/>
        <v>6.4800000000000111</v>
      </c>
      <c r="I73" s="18">
        <f>G73+F73</f>
        <v>0.22412250000000006</v>
      </c>
      <c r="J73" s="18"/>
      <c r="K73" s="18"/>
      <c r="L73" s="18"/>
      <c r="M73" s="17"/>
    </row>
    <row r="74" spans="1:13" x14ac:dyDescent="0.25">
      <c r="A74" s="29">
        <f t="shared" si="2"/>
        <v>57</v>
      </c>
      <c r="B74" s="30" t="s">
        <v>163</v>
      </c>
      <c r="C74" s="18">
        <f t="shared" si="3"/>
        <v>6.4800000000000111</v>
      </c>
      <c r="D74" s="18"/>
      <c r="E74" s="18">
        <f>C74*E11/12</f>
        <v>4.2930000000000072E-2</v>
      </c>
      <c r="F74" s="18">
        <f t="shared" si="0"/>
        <v>4.2930000000000072E-2</v>
      </c>
      <c r="G74" s="18">
        <v>0.18</v>
      </c>
      <c r="H74" s="18">
        <f t="shared" si="5"/>
        <v>6.3000000000000114</v>
      </c>
      <c r="I74" s="18">
        <f>F74+G74</f>
        <v>0.22293000000000007</v>
      </c>
      <c r="J74" s="18"/>
      <c r="K74" s="18"/>
      <c r="L74" s="18"/>
      <c r="M74" s="18"/>
    </row>
    <row r="75" spans="1:13" x14ac:dyDescent="0.25">
      <c r="A75" s="29">
        <f t="shared" si="2"/>
        <v>58</v>
      </c>
      <c r="B75" s="30" t="s">
        <v>164</v>
      </c>
      <c r="C75" s="18">
        <f t="shared" si="3"/>
        <v>6.3000000000000114</v>
      </c>
      <c r="D75" s="18"/>
      <c r="E75" s="18">
        <f>C75*E11/12</f>
        <v>4.1737500000000073E-2</v>
      </c>
      <c r="F75" s="18">
        <f t="shared" si="0"/>
        <v>4.1737500000000073E-2</v>
      </c>
      <c r="G75" s="18">
        <v>0.18</v>
      </c>
      <c r="H75" s="18">
        <f>C75-G75</f>
        <v>6.1200000000000117</v>
      </c>
      <c r="I75" s="18">
        <f>G75+F75</f>
        <v>0.22173750000000006</v>
      </c>
      <c r="J75" s="18"/>
      <c r="K75" s="18"/>
      <c r="L75" s="18"/>
      <c r="M75" s="18"/>
    </row>
    <row r="76" spans="1:13" x14ac:dyDescent="0.25">
      <c r="A76" s="29">
        <f t="shared" si="2"/>
        <v>59</v>
      </c>
      <c r="B76" s="30" t="s">
        <v>165</v>
      </c>
      <c r="C76" s="18">
        <f t="shared" si="3"/>
        <v>6.1200000000000117</v>
      </c>
      <c r="D76" s="18"/>
      <c r="E76" s="18">
        <f>C76*E11/12</f>
        <v>4.0545000000000074E-2</v>
      </c>
      <c r="F76" s="18">
        <f t="shared" si="0"/>
        <v>4.0545000000000074E-2</v>
      </c>
      <c r="G76" s="18">
        <v>0.18</v>
      </c>
      <c r="H76" s="18">
        <f t="shared" si="5"/>
        <v>5.9400000000000119</v>
      </c>
      <c r="I76" s="18">
        <f>F76+G76</f>
        <v>0.22054500000000007</v>
      </c>
      <c r="J76" s="18"/>
      <c r="K76" s="18"/>
      <c r="L76" s="18"/>
      <c r="M76" s="17"/>
    </row>
    <row r="77" spans="1:13" x14ac:dyDescent="0.25">
      <c r="A77" s="29">
        <f t="shared" si="2"/>
        <v>60</v>
      </c>
      <c r="B77" s="30" t="s">
        <v>166</v>
      </c>
      <c r="C77" s="18">
        <f t="shared" si="3"/>
        <v>5.9400000000000119</v>
      </c>
      <c r="D77" s="18"/>
      <c r="E77" s="18">
        <f>C77*E11/12</f>
        <v>3.9352500000000082E-2</v>
      </c>
      <c r="F77" s="18">
        <f>E77</f>
        <v>3.9352500000000082E-2</v>
      </c>
      <c r="G77" s="18">
        <v>0.18</v>
      </c>
      <c r="H77" s="18">
        <f t="shared" si="5"/>
        <v>5.7600000000000122</v>
      </c>
      <c r="I77" s="18">
        <f>G77+F77</f>
        <v>0.21935250000000006</v>
      </c>
      <c r="J77" s="18"/>
      <c r="K77" s="18"/>
      <c r="L77" s="18"/>
      <c r="M77" s="17"/>
    </row>
    <row r="78" spans="1:13" x14ac:dyDescent="0.25">
      <c r="A78" s="29">
        <f t="shared" si="2"/>
        <v>61</v>
      </c>
      <c r="B78" s="30" t="s">
        <v>167</v>
      </c>
      <c r="C78" s="18">
        <f>H77</f>
        <v>5.7600000000000122</v>
      </c>
      <c r="D78" s="18"/>
      <c r="E78" s="18">
        <f>C78*E12/12</f>
        <v>5.2800000000000118E-2</v>
      </c>
      <c r="F78" s="18">
        <f>E78</f>
        <v>5.2800000000000118E-2</v>
      </c>
      <c r="G78" s="18">
        <v>0.18</v>
      </c>
      <c r="H78" s="18">
        <f>H77-G78</f>
        <v>5.5800000000000125</v>
      </c>
      <c r="I78" s="18">
        <f>F78+G78</f>
        <v>0.23280000000000012</v>
      </c>
      <c r="J78" s="18"/>
      <c r="K78" s="18"/>
      <c r="L78" s="18"/>
      <c r="M78" s="18"/>
    </row>
    <row r="79" spans="1:13" x14ac:dyDescent="0.25">
      <c r="A79" s="29">
        <f t="shared" si="2"/>
        <v>62</v>
      </c>
      <c r="B79" s="30" t="s">
        <v>168</v>
      </c>
      <c r="C79" s="18">
        <f t="shared" si="3"/>
        <v>5.5800000000000125</v>
      </c>
      <c r="D79" s="18"/>
      <c r="E79" s="18">
        <f>C79*E12/12</f>
        <v>5.1150000000000112E-2</v>
      </c>
      <c r="F79" s="18">
        <f t="shared" ref="F79:F100" si="6">E79</f>
        <v>5.1150000000000112E-2</v>
      </c>
      <c r="G79" s="18">
        <v>0.18</v>
      </c>
      <c r="H79" s="18">
        <f>C79-G79</f>
        <v>5.4000000000000128</v>
      </c>
      <c r="I79" s="18">
        <f>G79+F79</f>
        <v>0.23115000000000011</v>
      </c>
      <c r="J79" s="18" t="str">
        <f>B79</f>
        <v>March-28</v>
      </c>
      <c r="K79" s="18">
        <f>SUM(E68:E79)</f>
        <v>0.55113750000000095</v>
      </c>
      <c r="L79" s="18">
        <f>SUM(G68:G79)</f>
        <v>2.1599999999999997</v>
      </c>
      <c r="M79" s="18">
        <f>K79+L79</f>
        <v>2.7111375000000004</v>
      </c>
    </row>
    <row r="80" spans="1:13" x14ac:dyDescent="0.25">
      <c r="A80" s="29">
        <f t="shared" si="2"/>
        <v>63</v>
      </c>
      <c r="B80" s="30" t="s">
        <v>169</v>
      </c>
      <c r="C80" s="18">
        <f t="shared" si="3"/>
        <v>5.4000000000000128</v>
      </c>
      <c r="D80" s="18"/>
      <c r="E80" s="18">
        <f>C80*E12/12</f>
        <v>4.950000000000012E-2</v>
      </c>
      <c r="F80" s="18">
        <f t="shared" si="6"/>
        <v>4.950000000000012E-2</v>
      </c>
      <c r="G80" s="18">
        <v>0.2</v>
      </c>
      <c r="H80" s="18">
        <f t="shared" si="5"/>
        <v>5.2000000000000126</v>
      </c>
      <c r="I80" s="18">
        <f>F80+G80</f>
        <v>0.24950000000000014</v>
      </c>
      <c r="J80" s="18"/>
      <c r="K80" s="18"/>
      <c r="L80" s="18"/>
      <c r="M80" s="18"/>
    </row>
    <row r="81" spans="1:13" x14ac:dyDescent="0.25">
      <c r="A81" s="29">
        <f t="shared" si="2"/>
        <v>64</v>
      </c>
      <c r="B81" s="30" t="s">
        <v>170</v>
      </c>
      <c r="C81" s="18">
        <f t="shared" si="3"/>
        <v>5.2000000000000126</v>
      </c>
      <c r="D81" s="18"/>
      <c r="E81" s="18">
        <f>C81*E12/12</f>
        <v>4.7666666666666781E-2</v>
      </c>
      <c r="F81" s="18">
        <f t="shared" si="6"/>
        <v>4.7666666666666781E-2</v>
      </c>
      <c r="G81" s="18">
        <v>0.2</v>
      </c>
      <c r="H81" s="18">
        <f>H80-G81</f>
        <v>5.0000000000000124</v>
      </c>
      <c r="I81" s="18">
        <f>G81+F81</f>
        <v>0.24766666666666678</v>
      </c>
      <c r="J81" s="18"/>
      <c r="K81" s="18"/>
      <c r="L81" s="18"/>
      <c r="M81" s="18"/>
    </row>
    <row r="82" spans="1:13" x14ac:dyDescent="0.25">
      <c r="A82" s="29">
        <f t="shared" si="2"/>
        <v>65</v>
      </c>
      <c r="B82" s="30" t="s">
        <v>171</v>
      </c>
      <c r="C82" s="18">
        <f t="shared" si="3"/>
        <v>5.0000000000000124</v>
      </c>
      <c r="D82" s="18"/>
      <c r="E82" s="18">
        <f>C82*E12/12</f>
        <v>4.5833333333333448E-2</v>
      </c>
      <c r="F82" s="18">
        <f t="shared" si="6"/>
        <v>4.5833333333333448E-2</v>
      </c>
      <c r="G82" s="18">
        <v>0.2</v>
      </c>
      <c r="H82" s="18">
        <f t="shared" si="5"/>
        <v>4.8000000000000123</v>
      </c>
      <c r="I82" s="18">
        <f>F82+G82</f>
        <v>0.24583333333333346</v>
      </c>
      <c r="J82" s="18"/>
      <c r="K82" s="18"/>
      <c r="L82" s="18"/>
      <c r="M82" s="18"/>
    </row>
    <row r="83" spans="1:13" x14ac:dyDescent="0.25">
      <c r="A83" s="29">
        <f t="shared" si="2"/>
        <v>66</v>
      </c>
      <c r="B83" s="30" t="s">
        <v>172</v>
      </c>
      <c r="C83" s="18">
        <f t="shared" si="3"/>
        <v>4.8000000000000123</v>
      </c>
      <c r="D83" s="18"/>
      <c r="E83" s="18">
        <f>C83*E12/12</f>
        <v>4.4000000000000115E-2</v>
      </c>
      <c r="F83" s="18">
        <f t="shared" si="6"/>
        <v>4.4000000000000115E-2</v>
      </c>
      <c r="G83" s="18">
        <v>0.2</v>
      </c>
      <c r="H83" s="18">
        <f t="shared" si="5"/>
        <v>4.6000000000000121</v>
      </c>
      <c r="I83" s="18">
        <f>G83+F83</f>
        <v>0.24400000000000013</v>
      </c>
      <c r="J83" s="18"/>
      <c r="K83" s="18"/>
      <c r="L83" s="18"/>
      <c r="M83" s="18"/>
    </row>
    <row r="84" spans="1:13" x14ac:dyDescent="0.25">
      <c r="A84" s="29">
        <f t="shared" ref="A84:A103" si="7">A83+1</f>
        <v>67</v>
      </c>
      <c r="B84" s="30" t="s">
        <v>173</v>
      </c>
      <c r="C84" s="18">
        <f t="shared" si="3"/>
        <v>4.6000000000000121</v>
      </c>
      <c r="D84" s="18"/>
      <c r="E84" s="18">
        <f>C84*E12/12</f>
        <v>4.2166666666666776E-2</v>
      </c>
      <c r="F84" s="18">
        <f t="shared" si="6"/>
        <v>4.2166666666666776E-2</v>
      </c>
      <c r="G84" s="18">
        <v>0.2</v>
      </c>
      <c r="H84" s="18">
        <f>H83-G84</f>
        <v>4.4000000000000119</v>
      </c>
      <c r="I84" s="18">
        <f>F84+G84</f>
        <v>0.24216666666666678</v>
      </c>
      <c r="J84" s="18"/>
      <c r="K84" s="18"/>
      <c r="L84" s="18"/>
      <c r="M84" s="18"/>
    </row>
    <row r="85" spans="1:13" x14ac:dyDescent="0.25">
      <c r="A85" s="29">
        <f t="shared" si="7"/>
        <v>68</v>
      </c>
      <c r="B85" s="30" t="s">
        <v>174</v>
      </c>
      <c r="C85" s="18">
        <f t="shared" ref="C85:C103" si="8">H84</f>
        <v>4.4000000000000119</v>
      </c>
      <c r="D85" s="18"/>
      <c r="E85" s="18">
        <f>C85*E12/12</f>
        <v>4.0333333333333443E-2</v>
      </c>
      <c r="F85" s="18">
        <f t="shared" si="6"/>
        <v>4.0333333333333443E-2</v>
      </c>
      <c r="G85" s="18">
        <v>0.2</v>
      </c>
      <c r="H85" s="18">
        <f>C85-G85</f>
        <v>4.2000000000000117</v>
      </c>
      <c r="I85" s="18">
        <f>G85+F85</f>
        <v>0.24033333333333345</v>
      </c>
      <c r="J85" s="18"/>
      <c r="K85" s="18"/>
      <c r="L85" s="18"/>
      <c r="M85" s="17"/>
    </row>
    <row r="86" spans="1:13" x14ac:dyDescent="0.25">
      <c r="A86" s="29">
        <f t="shared" si="7"/>
        <v>69</v>
      </c>
      <c r="B86" s="30" t="s">
        <v>175</v>
      </c>
      <c r="C86" s="18">
        <f t="shared" si="8"/>
        <v>4.2000000000000117</v>
      </c>
      <c r="D86" s="18"/>
      <c r="E86" s="18">
        <f>C86*E12/12</f>
        <v>3.8500000000000111E-2</v>
      </c>
      <c r="F86" s="18">
        <f t="shared" si="6"/>
        <v>3.8500000000000111E-2</v>
      </c>
      <c r="G86" s="18">
        <v>0.2</v>
      </c>
      <c r="H86" s="18">
        <f>C86-G86</f>
        <v>4.0000000000000115</v>
      </c>
      <c r="I86" s="18">
        <f>F86+G86</f>
        <v>0.23850000000000013</v>
      </c>
      <c r="J86" s="18"/>
      <c r="K86" s="18"/>
      <c r="L86" s="18"/>
      <c r="M86" s="18"/>
    </row>
    <row r="87" spans="1:13" x14ac:dyDescent="0.25">
      <c r="A87" s="29">
        <f t="shared" si="7"/>
        <v>70</v>
      </c>
      <c r="B87" s="30" t="s">
        <v>176</v>
      </c>
      <c r="C87" s="18">
        <f t="shared" si="8"/>
        <v>4.0000000000000115</v>
      </c>
      <c r="D87" s="18"/>
      <c r="E87" s="18">
        <f>C87*E12/12</f>
        <v>3.6666666666666771E-2</v>
      </c>
      <c r="F87" s="18">
        <f t="shared" si="6"/>
        <v>3.6666666666666771E-2</v>
      </c>
      <c r="G87" s="18">
        <v>0.2</v>
      </c>
      <c r="H87" s="18">
        <f>H86-G87</f>
        <v>3.8000000000000114</v>
      </c>
      <c r="I87" s="18">
        <f>G87+F87</f>
        <v>0.23666666666666678</v>
      </c>
      <c r="J87" s="18"/>
      <c r="K87" s="18"/>
      <c r="L87" s="18"/>
      <c r="M87" s="18"/>
    </row>
    <row r="88" spans="1:13" x14ac:dyDescent="0.25">
      <c r="A88" s="29">
        <f t="shared" si="7"/>
        <v>71</v>
      </c>
      <c r="B88" s="30" t="s">
        <v>177</v>
      </c>
      <c r="C88" s="18">
        <f t="shared" si="8"/>
        <v>3.8000000000000114</v>
      </c>
      <c r="D88" s="18"/>
      <c r="E88" s="18">
        <f>C88*E12/12</f>
        <v>3.4833333333333438E-2</v>
      </c>
      <c r="F88" s="18">
        <f t="shared" si="6"/>
        <v>3.4833333333333438E-2</v>
      </c>
      <c r="G88" s="18">
        <v>0.2</v>
      </c>
      <c r="H88" s="18">
        <f>C88-G88</f>
        <v>3.6000000000000112</v>
      </c>
      <c r="I88" s="18">
        <f>F88+G88</f>
        <v>0.23483333333333345</v>
      </c>
      <c r="J88" s="18"/>
      <c r="K88" s="18"/>
      <c r="L88" s="18"/>
      <c r="M88" s="17"/>
    </row>
    <row r="89" spans="1:13" x14ac:dyDescent="0.25">
      <c r="A89" s="29">
        <f t="shared" si="7"/>
        <v>72</v>
      </c>
      <c r="B89" s="30" t="s">
        <v>178</v>
      </c>
      <c r="C89" s="18">
        <f t="shared" si="8"/>
        <v>3.6000000000000112</v>
      </c>
      <c r="D89" s="18"/>
      <c r="E89" s="18">
        <f>C89*E12/12</f>
        <v>3.3000000000000106E-2</v>
      </c>
      <c r="F89" s="18">
        <f t="shared" si="6"/>
        <v>3.3000000000000106E-2</v>
      </c>
      <c r="G89" s="18">
        <v>0.2</v>
      </c>
      <c r="H89" s="18">
        <f>C89-G89</f>
        <v>3.400000000000011</v>
      </c>
      <c r="I89" s="18">
        <f>G89+F89</f>
        <v>0.23300000000000012</v>
      </c>
      <c r="J89" s="18"/>
      <c r="K89" s="18"/>
      <c r="L89" s="18"/>
      <c r="M89" s="17"/>
    </row>
    <row r="90" spans="1:13" x14ac:dyDescent="0.25">
      <c r="A90" s="29">
        <f t="shared" si="7"/>
        <v>73</v>
      </c>
      <c r="B90" s="30" t="s">
        <v>179</v>
      </c>
      <c r="C90" s="18">
        <f t="shared" si="8"/>
        <v>3.400000000000011</v>
      </c>
      <c r="D90" s="18"/>
      <c r="E90" s="18">
        <f>C90*E12/12</f>
        <v>3.116666666666677E-2</v>
      </c>
      <c r="F90" s="18">
        <f t="shared" si="6"/>
        <v>3.116666666666677E-2</v>
      </c>
      <c r="G90" s="18">
        <v>0.2</v>
      </c>
      <c r="H90" s="18">
        <f>H89-G90</f>
        <v>3.2000000000000108</v>
      </c>
      <c r="I90" s="18">
        <f>F90+G90</f>
        <v>0.23116666666666677</v>
      </c>
      <c r="J90" s="18"/>
      <c r="K90" s="18"/>
      <c r="L90" s="18"/>
      <c r="M90" s="18"/>
    </row>
    <row r="91" spans="1:13" x14ac:dyDescent="0.25">
      <c r="A91" s="29">
        <f t="shared" si="7"/>
        <v>74</v>
      </c>
      <c r="B91" s="30" t="s">
        <v>180</v>
      </c>
      <c r="C91" s="18">
        <f t="shared" si="8"/>
        <v>3.2000000000000108</v>
      </c>
      <c r="D91" s="18"/>
      <c r="E91" s="18">
        <f>C91*E12/12</f>
        <v>2.9333333333333433E-2</v>
      </c>
      <c r="F91" s="18">
        <f t="shared" si="6"/>
        <v>2.9333333333333433E-2</v>
      </c>
      <c r="G91" s="18">
        <v>0.2</v>
      </c>
      <c r="H91" s="18">
        <f>H90-G91</f>
        <v>3.0000000000000107</v>
      </c>
      <c r="I91" s="18">
        <f>G91+F91</f>
        <v>0.22933333333333344</v>
      </c>
      <c r="J91" s="18" t="str">
        <f>B91</f>
        <v>March-29</v>
      </c>
      <c r="K91" s="18">
        <f>SUM(E80:E91)</f>
        <v>0.47300000000000131</v>
      </c>
      <c r="L91" s="18">
        <f>SUM(G80:G91)</f>
        <v>2.4</v>
      </c>
      <c r="M91" s="18">
        <f>K91+L91</f>
        <v>2.8730000000000011</v>
      </c>
    </row>
    <row r="92" spans="1:13" x14ac:dyDescent="0.25">
      <c r="A92" s="29">
        <f t="shared" si="7"/>
        <v>75</v>
      </c>
      <c r="B92" s="30" t="s">
        <v>181</v>
      </c>
      <c r="C92" s="18">
        <f t="shared" si="8"/>
        <v>3.0000000000000107</v>
      </c>
      <c r="D92" s="18"/>
      <c r="E92" s="18">
        <f>C92*E12/12</f>
        <v>2.7500000000000097E-2</v>
      </c>
      <c r="F92" s="18">
        <f t="shared" si="6"/>
        <v>2.7500000000000097E-2</v>
      </c>
      <c r="G92" s="18">
        <v>0.25</v>
      </c>
      <c r="H92" s="18">
        <f t="shared" ref="H92:H103" si="9">H91-G92</f>
        <v>2.7500000000000107</v>
      </c>
      <c r="I92" s="18">
        <f t="shared" ref="I92:I103" si="10">G92+F92</f>
        <v>0.27750000000000008</v>
      </c>
      <c r="J92" s="18"/>
      <c r="K92" s="18"/>
      <c r="L92" s="18"/>
      <c r="M92" s="18"/>
    </row>
    <row r="93" spans="1:13" x14ac:dyDescent="0.25">
      <c r="A93" s="29">
        <f t="shared" si="7"/>
        <v>76</v>
      </c>
      <c r="B93" s="30" t="s">
        <v>182</v>
      </c>
      <c r="C93" s="18">
        <f t="shared" si="8"/>
        <v>2.7500000000000107</v>
      </c>
      <c r="D93" s="18"/>
      <c r="E93" s="18">
        <f>C93*E12/12</f>
        <v>2.520833333333343E-2</v>
      </c>
      <c r="F93" s="18">
        <f t="shared" si="6"/>
        <v>2.520833333333343E-2</v>
      </c>
      <c r="G93" s="18">
        <v>0.25</v>
      </c>
      <c r="H93" s="18">
        <f t="shared" si="9"/>
        <v>2.5000000000000107</v>
      </c>
      <c r="I93" s="18">
        <f t="shared" si="10"/>
        <v>0.27520833333333344</v>
      </c>
      <c r="J93" s="18"/>
      <c r="K93" s="18"/>
      <c r="L93" s="18"/>
      <c r="M93" s="18"/>
    </row>
    <row r="94" spans="1:13" x14ac:dyDescent="0.25">
      <c r="A94" s="29">
        <f t="shared" si="7"/>
        <v>77</v>
      </c>
      <c r="B94" s="30" t="s">
        <v>183</v>
      </c>
      <c r="C94" s="18">
        <f t="shared" si="8"/>
        <v>2.5000000000000107</v>
      </c>
      <c r="D94" s="18"/>
      <c r="E94" s="18">
        <f>C94*E12/12</f>
        <v>2.2916666666666766E-2</v>
      </c>
      <c r="F94" s="18">
        <f t="shared" si="6"/>
        <v>2.2916666666666766E-2</v>
      </c>
      <c r="G94" s="18">
        <v>0.25</v>
      </c>
      <c r="H94" s="18">
        <f t="shared" si="9"/>
        <v>2.2500000000000107</v>
      </c>
      <c r="I94" s="18">
        <f t="shared" si="10"/>
        <v>0.27291666666666675</v>
      </c>
      <c r="J94" s="18"/>
      <c r="K94" s="18"/>
      <c r="L94" s="18"/>
      <c r="M94" s="18"/>
    </row>
    <row r="95" spans="1:13" x14ac:dyDescent="0.25">
      <c r="A95" s="29">
        <f t="shared" si="7"/>
        <v>78</v>
      </c>
      <c r="B95" s="30" t="s">
        <v>184</v>
      </c>
      <c r="C95" s="18">
        <f t="shared" si="8"/>
        <v>2.2500000000000107</v>
      </c>
      <c r="D95" s="18"/>
      <c r="E95" s="18">
        <f>C95*E12/12</f>
        <v>2.0625000000000098E-2</v>
      </c>
      <c r="F95" s="18">
        <f t="shared" si="6"/>
        <v>2.0625000000000098E-2</v>
      </c>
      <c r="G95" s="18">
        <v>0.25</v>
      </c>
      <c r="H95" s="18">
        <f t="shared" si="9"/>
        <v>2.0000000000000107</v>
      </c>
      <c r="I95" s="18">
        <f t="shared" si="10"/>
        <v>0.27062500000000012</v>
      </c>
      <c r="J95" s="18"/>
      <c r="K95" s="18"/>
      <c r="L95" s="18"/>
      <c r="M95" s="18"/>
    </row>
    <row r="96" spans="1:13" x14ac:dyDescent="0.25">
      <c r="A96" s="29">
        <f t="shared" si="7"/>
        <v>79</v>
      </c>
      <c r="B96" s="30" t="s">
        <v>185</v>
      </c>
      <c r="C96" s="18">
        <f t="shared" si="8"/>
        <v>2.0000000000000107</v>
      </c>
      <c r="D96" s="18"/>
      <c r="E96" s="18">
        <f>C96*E12/12</f>
        <v>1.8333333333333431E-2</v>
      </c>
      <c r="F96" s="18">
        <f t="shared" si="6"/>
        <v>1.8333333333333431E-2</v>
      </c>
      <c r="G96" s="18">
        <v>0.25</v>
      </c>
      <c r="H96" s="18">
        <f t="shared" si="9"/>
        <v>1.7500000000000107</v>
      </c>
      <c r="I96" s="18">
        <f t="shared" si="10"/>
        <v>0.26833333333333342</v>
      </c>
      <c r="J96" s="18"/>
      <c r="K96" s="18"/>
      <c r="L96" s="18"/>
      <c r="M96" s="18"/>
    </row>
    <row r="97" spans="1:13" x14ac:dyDescent="0.25">
      <c r="A97" s="29">
        <f t="shared" si="7"/>
        <v>80</v>
      </c>
      <c r="B97" s="30" t="s">
        <v>186</v>
      </c>
      <c r="C97" s="18">
        <f t="shared" si="8"/>
        <v>1.7500000000000107</v>
      </c>
      <c r="D97" s="18"/>
      <c r="E97" s="18">
        <f>C97*E12/12</f>
        <v>1.6041666666666763E-2</v>
      </c>
      <c r="F97" s="18">
        <f t="shared" si="6"/>
        <v>1.6041666666666763E-2</v>
      </c>
      <c r="G97" s="18">
        <v>0.25</v>
      </c>
      <c r="H97" s="18">
        <f t="shared" si="9"/>
        <v>1.5000000000000107</v>
      </c>
      <c r="I97" s="18">
        <f t="shared" si="10"/>
        <v>0.26604166666666679</v>
      </c>
      <c r="J97" s="18"/>
      <c r="K97" s="18"/>
      <c r="L97" s="18"/>
      <c r="M97" s="18"/>
    </row>
    <row r="98" spans="1:13" x14ac:dyDescent="0.25">
      <c r="A98" s="29">
        <f t="shared" si="7"/>
        <v>81</v>
      </c>
      <c r="B98" s="30" t="s">
        <v>187</v>
      </c>
      <c r="C98" s="18">
        <f t="shared" si="8"/>
        <v>1.5000000000000107</v>
      </c>
      <c r="D98" s="18"/>
      <c r="E98" s="18">
        <f>C98*E12/12</f>
        <v>1.3750000000000097E-2</v>
      </c>
      <c r="F98" s="18">
        <f t="shared" si="6"/>
        <v>1.3750000000000097E-2</v>
      </c>
      <c r="G98" s="18">
        <v>0.25</v>
      </c>
      <c r="H98" s="18">
        <f t="shared" si="9"/>
        <v>1.2500000000000107</v>
      </c>
      <c r="I98" s="18">
        <f t="shared" si="10"/>
        <v>0.2637500000000001</v>
      </c>
      <c r="J98" s="18"/>
      <c r="K98" s="18"/>
      <c r="L98" s="18"/>
      <c r="M98" s="18"/>
    </row>
    <row r="99" spans="1:13" x14ac:dyDescent="0.25">
      <c r="A99" s="29">
        <f t="shared" si="7"/>
        <v>82</v>
      </c>
      <c r="B99" s="30" t="s">
        <v>188</v>
      </c>
      <c r="C99" s="18">
        <f t="shared" si="8"/>
        <v>1.2500000000000107</v>
      </c>
      <c r="D99" s="18"/>
      <c r="E99" s="18">
        <f>C99*E12/12</f>
        <v>1.1458333333333431E-2</v>
      </c>
      <c r="F99" s="18">
        <f t="shared" si="6"/>
        <v>1.1458333333333431E-2</v>
      </c>
      <c r="G99" s="18">
        <v>0.25</v>
      </c>
      <c r="H99" s="18">
        <f t="shared" si="9"/>
        <v>1.0000000000000107</v>
      </c>
      <c r="I99" s="18">
        <f t="shared" si="10"/>
        <v>0.26145833333333346</v>
      </c>
      <c r="J99" s="18"/>
      <c r="K99" s="18"/>
      <c r="L99" s="18"/>
      <c r="M99" s="18"/>
    </row>
    <row r="100" spans="1:13" x14ac:dyDescent="0.25">
      <c r="A100" s="29">
        <f t="shared" si="7"/>
        <v>83</v>
      </c>
      <c r="B100" s="30" t="s">
        <v>189</v>
      </c>
      <c r="C100" s="18">
        <f t="shared" si="8"/>
        <v>1.0000000000000107</v>
      </c>
      <c r="D100" s="18"/>
      <c r="E100" s="18">
        <f>C100*E12/12</f>
        <v>9.1666666666667639E-3</v>
      </c>
      <c r="F100" s="18">
        <f t="shared" si="6"/>
        <v>9.1666666666667639E-3</v>
      </c>
      <c r="G100" s="18">
        <v>0.25</v>
      </c>
      <c r="H100" s="18">
        <f t="shared" si="9"/>
        <v>0.75000000000001066</v>
      </c>
      <c r="I100" s="18">
        <f t="shared" si="10"/>
        <v>0.25916666666666677</v>
      </c>
      <c r="J100" s="18"/>
      <c r="K100" s="18"/>
      <c r="L100" s="18"/>
      <c r="M100" s="18"/>
    </row>
    <row r="101" spans="1:13" x14ac:dyDescent="0.25">
      <c r="A101" s="29">
        <f t="shared" si="7"/>
        <v>84</v>
      </c>
      <c r="B101" s="30" t="s">
        <v>190</v>
      </c>
      <c r="C101" s="18">
        <f>H100</f>
        <v>0.75000000000001066</v>
      </c>
      <c r="D101" s="18"/>
      <c r="E101" s="18">
        <f>C101*E12/12</f>
        <v>6.8750000000000972E-3</v>
      </c>
      <c r="F101" s="18">
        <f>E101</f>
        <v>6.8750000000000972E-3</v>
      </c>
      <c r="G101" s="18">
        <v>0.25</v>
      </c>
      <c r="H101" s="18">
        <f>H100-G101</f>
        <v>0.50000000000001066</v>
      </c>
      <c r="I101" s="18">
        <f>G101+F101</f>
        <v>0.25687500000000008</v>
      </c>
      <c r="J101" s="18"/>
      <c r="K101" s="18"/>
      <c r="L101" s="18"/>
      <c r="M101" s="18"/>
    </row>
    <row r="102" spans="1:13" x14ac:dyDescent="0.25">
      <c r="A102" s="29">
        <f t="shared" si="7"/>
        <v>85</v>
      </c>
      <c r="B102" s="30" t="s">
        <v>191</v>
      </c>
      <c r="C102" s="18">
        <f t="shared" si="8"/>
        <v>0.50000000000001066</v>
      </c>
      <c r="D102" s="18"/>
      <c r="E102" s="18">
        <f>C102*E12/12</f>
        <v>4.5833333333334314E-3</v>
      </c>
      <c r="F102" s="18">
        <f>E102</f>
        <v>4.5833333333334314E-3</v>
      </c>
      <c r="G102" s="18">
        <v>0.25</v>
      </c>
      <c r="H102" s="18">
        <f t="shared" si="9"/>
        <v>0.25000000000001066</v>
      </c>
      <c r="I102" s="18">
        <f t="shared" si="10"/>
        <v>0.25458333333333344</v>
      </c>
      <c r="J102" s="18"/>
      <c r="K102" s="18"/>
      <c r="L102" s="18"/>
      <c r="M102" s="18"/>
    </row>
    <row r="103" spans="1:13" x14ac:dyDescent="0.25">
      <c r="A103" s="29">
        <f t="shared" si="7"/>
        <v>86</v>
      </c>
      <c r="B103" s="30" t="s">
        <v>192</v>
      </c>
      <c r="C103" s="18">
        <f t="shared" si="8"/>
        <v>0.25000000000001066</v>
      </c>
      <c r="D103" s="18"/>
      <c r="E103" s="18">
        <f>C103*E12/12</f>
        <v>2.2916666666667643E-3</v>
      </c>
      <c r="F103" s="18">
        <f t="shared" ref="F103" si="11">E103</f>
        <v>2.2916666666667643E-3</v>
      </c>
      <c r="G103" s="18">
        <v>0.25</v>
      </c>
      <c r="H103" s="18">
        <f t="shared" si="9"/>
        <v>1.0658141036401503E-14</v>
      </c>
      <c r="I103" s="18">
        <f t="shared" si="10"/>
        <v>0.25229166666666675</v>
      </c>
      <c r="J103" s="18" t="str">
        <f>B103</f>
        <v>March-30</v>
      </c>
      <c r="K103" s="18">
        <f>SUM(E92:E103)</f>
        <v>0.17875000000000119</v>
      </c>
      <c r="L103" s="18">
        <f>SUM(G92:G103)</f>
        <v>3</v>
      </c>
      <c r="M103" s="18">
        <f>K103+L103</f>
        <v>3.1787500000000013</v>
      </c>
    </row>
    <row r="104" spans="1:13" x14ac:dyDescent="0.25">
      <c r="A104" s="29"/>
      <c r="B104" s="30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1:13" x14ac:dyDescent="0.25">
      <c r="A105" s="29" t="s">
        <v>11</v>
      </c>
      <c r="B105" s="30"/>
      <c r="C105" s="18"/>
      <c r="D105" s="18"/>
      <c r="E105" s="18"/>
      <c r="F105" s="75">
        <f>SUM(F18:F103)</f>
        <v>4.5120750000000065</v>
      </c>
      <c r="G105" s="75">
        <f>SUM(G18:G103)</f>
        <v>11.999999999999996</v>
      </c>
      <c r="H105" s="75"/>
      <c r="I105" s="75">
        <f>SUM(I18:I103)</f>
        <v>16.512075000000003</v>
      </c>
      <c r="J105" s="75"/>
      <c r="K105" s="75">
        <f>SUM(K18:K103)</f>
        <v>4.5120750000000056</v>
      </c>
      <c r="L105" s="75">
        <f>SUM(L18:L103)</f>
        <v>12</v>
      </c>
      <c r="M105" s="75">
        <f>SUM(M18:M103)</f>
        <v>16.512075000000003</v>
      </c>
    </row>
    <row r="108" spans="1:13" x14ac:dyDescent="0.25">
      <c r="A108" s="2" t="s">
        <v>208</v>
      </c>
    </row>
    <row r="110" spans="1:13" x14ac:dyDescent="0.25">
      <c r="A110" t="s">
        <v>209</v>
      </c>
      <c r="E110" s="72">
        <v>2</v>
      </c>
      <c r="F110" t="s">
        <v>210</v>
      </c>
    </row>
    <row r="111" spans="1:13" x14ac:dyDescent="0.25">
      <c r="A111" s="115" t="s">
        <v>20</v>
      </c>
      <c r="B111" s="115"/>
      <c r="C111" s="17" t="s">
        <v>205</v>
      </c>
      <c r="D111" s="20">
        <v>7.9500000000000001E-2</v>
      </c>
    </row>
    <row r="112" spans="1:13" x14ac:dyDescent="0.25">
      <c r="A112" s="78"/>
      <c r="B112" s="78"/>
      <c r="C112" s="17" t="s">
        <v>212</v>
      </c>
      <c r="D112" s="20">
        <v>0.11</v>
      </c>
    </row>
    <row r="113" spans="1:5" x14ac:dyDescent="0.25">
      <c r="D113" s="73"/>
    </row>
    <row r="114" spans="1:5" x14ac:dyDescent="0.25">
      <c r="A114" t="s">
        <v>211</v>
      </c>
      <c r="C114" s="17" t="s">
        <v>205</v>
      </c>
      <c r="D114" s="20">
        <v>7.9500000000000001E-2</v>
      </c>
      <c r="E114" s="72">
        <f>E110*D111</f>
        <v>0.159</v>
      </c>
    </row>
    <row r="115" spans="1:5" x14ac:dyDescent="0.25">
      <c r="C115" s="17" t="s">
        <v>212</v>
      </c>
      <c r="D115" s="20">
        <v>0.11</v>
      </c>
      <c r="E115" s="72">
        <f>E110*D112</f>
        <v>0.22</v>
      </c>
    </row>
    <row r="116" spans="1:5" x14ac:dyDescent="0.25">
      <c r="D116" s="72"/>
    </row>
    <row r="117" spans="1:5" x14ac:dyDescent="0.25">
      <c r="D117" s="72"/>
    </row>
    <row r="118" spans="1:5" x14ac:dyDescent="0.25">
      <c r="D118" s="72"/>
    </row>
    <row r="119" spans="1:5" x14ac:dyDescent="0.25">
      <c r="D119" s="72"/>
    </row>
    <row r="120" spans="1:5" x14ac:dyDescent="0.25">
      <c r="D120" s="72"/>
    </row>
    <row r="121" spans="1:5" x14ac:dyDescent="0.25">
      <c r="D121" s="72"/>
    </row>
    <row r="122" spans="1:5" x14ac:dyDescent="0.25">
      <c r="D122" s="72"/>
    </row>
    <row r="123" spans="1:5" x14ac:dyDescent="0.25">
      <c r="D123" s="72"/>
    </row>
    <row r="124" spans="1:5" x14ac:dyDescent="0.25">
      <c r="D124" s="72"/>
    </row>
  </sheetData>
  <mergeCells count="10">
    <mergeCell ref="A111:B111"/>
    <mergeCell ref="B9:C9"/>
    <mergeCell ref="B10:C10"/>
    <mergeCell ref="B11:C11"/>
    <mergeCell ref="B1:K1"/>
    <mergeCell ref="B3:C3"/>
    <mergeCell ref="B4:C4"/>
    <mergeCell ref="B5:C5"/>
    <mergeCell ref="B7:C7"/>
    <mergeCell ref="B8:C8"/>
  </mergeCells>
  <phoneticPr fontId="15" type="noConversion"/>
  <pageMargins left="0.7" right="0.7" top="0.75" bottom="0.75" header="0.3" footer="0.3"/>
  <pageSetup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B6E82-CBFA-43A0-9401-BDC8F2890FDE}">
  <dimension ref="A1:D2"/>
  <sheetViews>
    <sheetView workbookViewId="0">
      <selection activeCell="H16" sqref="H16"/>
    </sheetView>
  </sheetViews>
  <sheetFormatPr defaultRowHeight="15" x14ac:dyDescent="0.25"/>
  <cols>
    <col min="1" max="1" width="52.85546875" customWidth="1"/>
    <col min="2" max="2" width="40.7109375" customWidth="1"/>
    <col min="3" max="3" width="33.85546875" customWidth="1"/>
    <col min="4" max="4" width="10.85546875" customWidth="1"/>
  </cols>
  <sheetData>
    <row r="1" spans="1:4" ht="24" customHeight="1" x14ac:dyDescent="0.25">
      <c r="A1" s="2" t="s">
        <v>368</v>
      </c>
      <c r="D1" t="s">
        <v>370</v>
      </c>
    </row>
    <row r="2" spans="1:4" ht="47.25" customHeight="1" x14ac:dyDescent="0.25">
      <c r="A2" s="112" t="s">
        <v>369</v>
      </c>
      <c r="B2" s="112" t="s">
        <v>300</v>
      </c>
      <c r="C2" s="113" t="s">
        <v>367</v>
      </c>
      <c r="D2" s="109">
        <v>1.7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7"/>
  <sheetViews>
    <sheetView topLeftCell="A63" workbookViewId="0">
      <selection activeCell="E82" sqref="E82"/>
    </sheetView>
  </sheetViews>
  <sheetFormatPr defaultRowHeight="15" x14ac:dyDescent="0.25"/>
  <cols>
    <col min="2" max="2" width="62" bestFit="1" customWidth="1"/>
    <col min="3" max="3" width="28.85546875" customWidth="1"/>
    <col min="4" max="4" width="31.140625" customWidth="1"/>
    <col min="5" max="5" width="16.85546875" customWidth="1"/>
  </cols>
  <sheetData>
    <row r="1" spans="1:9" ht="15.75" x14ac:dyDescent="0.25">
      <c r="A1" s="66" t="s">
        <v>81</v>
      </c>
    </row>
    <row r="2" spans="1:9" ht="15.75" x14ac:dyDescent="0.25">
      <c r="A2" s="66"/>
    </row>
    <row r="3" spans="1:9" x14ac:dyDescent="0.25">
      <c r="A3" s="101" t="s">
        <v>294</v>
      </c>
      <c r="B3" s="101" t="s">
        <v>295</v>
      </c>
      <c r="C3" s="101" t="s">
        <v>296</v>
      </c>
      <c r="D3" s="101" t="s">
        <v>297</v>
      </c>
      <c r="E3" s="101" t="s">
        <v>298</v>
      </c>
      <c r="F3" s="1"/>
    </row>
    <row r="4" spans="1:9" ht="15.75" x14ac:dyDescent="0.25">
      <c r="A4" s="102">
        <v>1</v>
      </c>
      <c r="B4" s="103" t="s">
        <v>299</v>
      </c>
      <c r="C4" s="104" t="s">
        <v>300</v>
      </c>
      <c r="D4" s="105">
        <v>1</v>
      </c>
      <c r="E4" s="109">
        <v>637200</v>
      </c>
    </row>
    <row r="5" spans="1:9" ht="15.75" x14ac:dyDescent="0.25">
      <c r="A5" s="102">
        <v>2</v>
      </c>
      <c r="B5" s="103" t="s">
        <v>301</v>
      </c>
      <c r="C5" s="104" t="s">
        <v>300</v>
      </c>
      <c r="D5" s="105">
        <v>1</v>
      </c>
      <c r="E5" s="109">
        <v>383500</v>
      </c>
    </row>
    <row r="6" spans="1:9" ht="15.75" x14ac:dyDescent="0.25">
      <c r="A6" s="102">
        <v>3</v>
      </c>
      <c r="B6" s="103" t="s">
        <v>302</v>
      </c>
      <c r="C6" s="104" t="s">
        <v>300</v>
      </c>
      <c r="D6" s="105">
        <v>1</v>
      </c>
      <c r="E6" s="109">
        <v>108560</v>
      </c>
    </row>
    <row r="7" spans="1:9" ht="15.75" x14ac:dyDescent="0.25">
      <c r="A7" s="102">
        <v>4</v>
      </c>
      <c r="B7" s="103" t="s">
        <v>303</v>
      </c>
      <c r="C7" s="104" t="s">
        <v>300</v>
      </c>
      <c r="D7" s="105">
        <v>1</v>
      </c>
      <c r="E7" s="109">
        <v>1900001</v>
      </c>
    </row>
    <row r="8" spans="1:9" s="74" customFormat="1" ht="15.75" x14ac:dyDescent="0.25">
      <c r="A8" s="102">
        <v>5</v>
      </c>
      <c r="B8" s="103" t="s">
        <v>304</v>
      </c>
      <c r="C8" s="104" t="s">
        <v>300</v>
      </c>
      <c r="D8" s="105">
        <v>1</v>
      </c>
      <c r="E8" s="109">
        <v>486001</v>
      </c>
    </row>
    <row r="9" spans="1:9" s="74" customFormat="1" ht="15.75" x14ac:dyDescent="0.25">
      <c r="A9" s="102">
        <v>6</v>
      </c>
      <c r="B9" s="103" t="s">
        <v>305</v>
      </c>
      <c r="C9" s="104" t="s">
        <v>300</v>
      </c>
      <c r="D9" s="105">
        <v>1</v>
      </c>
      <c r="E9" s="109">
        <v>1232000</v>
      </c>
    </row>
    <row r="10" spans="1:9" s="74" customFormat="1" ht="15.75" x14ac:dyDescent="0.25">
      <c r="A10" s="102">
        <v>7</v>
      </c>
      <c r="B10" s="103" t="s">
        <v>306</v>
      </c>
      <c r="C10" s="104" t="s">
        <v>300</v>
      </c>
      <c r="D10" s="105">
        <v>4</v>
      </c>
      <c r="E10" s="109">
        <v>360416</v>
      </c>
    </row>
    <row r="11" spans="1:9" s="74" customFormat="1" ht="15.75" x14ac:dyDescent="0.25">
      <c r="A11" s="102">
        <v>8</v>
      </c>
      <c r="B11" s="103" t="s">
        <v>307</v>
      </c>
      <c r="C11" s="104" t="s">
        <v>300</v>
      </c>
      <c r="D11" s="105">
        <v>1</v>
      </c>
      <c r="E11" s="109">
        <v>211008</v>
      </c>
    </row>
    <row r="12" spans="1:9" s="74" customFormat="1" ht="15.75" x14ac:dyDescent="0.25">
      <c r="A12" s="102">
        <v>9</v>
      </c>
      <c r="B12" s="103" t="s">
        <v>308</v>
      </c>
      <c r="C12" s="104" t="s">
        <v>300</v>
      </c>
      <c r="D12" s="105">
        <v>1</v>
      </c>
      <c r="E12" s="109">
        <v>118720</v>
      </c>
      <c r="F12" s="63"/>
      <c r="G12" s="63"/>
      <c r="H12" s="64"/>
      <c r="I12" s="64"/>
    </row>
    <row r="13" spans="1:9" ht="13.5" customHeight="1" x14ac:dyDescent="0.25">
      <c r="A13" s="102">
        <v>10</v>
      </c>
      <c r="B13" s="103" t="s">
        <v>309</v>
      </c>
      <c r="C13" s="104" t="s">
        <v>300</v>
      </c>
      <c r="D13" s="105">
        <v>1</v>
      </c>
      <c r="E13" s="109">
        <v>25200</v>
      </c>
      <c r="F13" s="62"/>
      <c r="G13" s="63"/>
      <c r="H13" s="63"/>
    </row>
    <row r="14" spans="1:9" ht="15.75" x14ac:dyDescent="0.25">
      <c r="A14" s="102">
        <v>11</v>
      </c>
      <c r="B14" s="103" t="s">
        <v>310</v>
      </c>
      <c r="C14" s="104" t="s">
        <v>300</v>
      </c>
      <c r="D14" s="105">
        <v>1</v>
      </c>
      <c r="E14" s="109">
        <v>19600</v>
      </c>
      <c r="F14" s="63"/>
      <c r="G14" s="63"/>
      <c r="H14" s="64"/>
      <c r="I14" s="64"/>
    </row>
    <row r="15" spans="1:9" ht="15.75" customHeight="1" x14ac:dyDescent="0.25">
      <c r="A15" s="102">
        <v>12</v>
      </c>
      <c r="B15" s="103" t="s">
        <v>311</v>
      </c>
      <c r="C15" s="104" t="s">
        <v>300</v>
      </c>
      <c r="D15" s="105">
        <v>1</v>
      </c>
      <c r="E15" s="109">
        <v>55440</v>
      </c>
      <c r="F15" s="62"/>
      <c r="G15" s="62"/>
      <c r="H15" s="63"/>
      <c r="I15" s="63"/>
    </row>
    <row r="16" spans="1:9" ht="15.75" x14ac:dyDescent="0.25">
      <c r="A16" s="102">
        <v>13</v>
      </c>
      <c r="B16" s="103" t="s">
        <v>312</v>
      </c>
      <c r="C16" s="104" t="s">
        <v>300</v>
      </c>
      <c r="D16" s="105">
        <v>2</v>
      </c>
      <c r="E16" s="109">
        <v>169998</v>
      </c>
      <c r="F16" s="63"/>
      <c r="G16" s="63"/>
      <c r="H16" s="64"/>
      <c r="I16" s="64"/>
    </row>
    <row r="17" spans="1:9" ht="15.75" customHeight="1" x14ac:dyDescent="0.25">
      <c r="A17" s="102">
        <v>14</v>
      </c>
      <c r="B17" s="103" t="s">
        <v>313</v>
      </c>
      <c r="C17" s="104" t="s">
        <v>300</v>
      </c>
      <c r="D17" s="105">
        <v>4</v>
      </c>
      <c r="E17" s="109">
        <v>100800</v>
      </c>
      <c r="F17" s="62"/>
      <c r="G17" s="62"/>
      <c r="H17" s="63"/>
      <c r="I17" s="63"/>
    </row>
    <row r="18" spans="1:9" ht="15.75" x14ac:dyDescent="0.25">
      <c r="A18" s="102">
        <v>15</v>
      </c>
      <c r="B18" s="103" t="s">
        <v>314</v>
      </c>
      <c r="C18" s="104" t="s">
        <v>300</v>
      </c>
      <c r="D18" s="105">
        <v>4</v>
      </c>
      <c r="E18" s="109">
        <v>78400</v>
      </c>
      <c r="F18" s="63"/>
      <c r="G18" s="63"/>
      <c r="H18" s="64"/>
      <c r="I18" s="64"/>
    </row>
    <row r="19" spans="1:9" ht="12" customHeight="1" x14ac:dyDescent="0.25">
      <c r="A19" s="102">
        <v>16</v>
      </c>
      <c r="B19" s="103" t="s">
        <v>315</v>
      </c>
      <c r="C19" s="104" t="s">
        <v>300</v>
      </c>
      <c r="D19" s="105">
        <v>1</v>
      </c>
      <c r="E19" s="109">
        <v>20552</v>
      </c>
      <c r="F19" s="62"/>
      <c r="G19" s="62"/>
      <c r="H19" s="63"/>
      <c r="I19" s="63"/>
    </row>
    <row r="20" spans="1:9" ht="15.75" x14ac:dyDescent="0.25">
      <c r="A20" s="102">
        <v>17</v>
      </c>
      <c r="B20" s="103" t="s">
        <v>316</v>
      </c>
      <c r="C20" s="104" t="s">
        <v>300</v>
      </c>
      <c r="D20" s="105">
        <v>1</v>
      </c>
      <c r="E20" s="109">
        <v>940800</v>
      </c>
      <c r="F20" s="63"/>
      <c r="G20" s="63"/>
      <c r="H20" s="64"/>
      <c r="I20" s="64"/>
    </row>
    <row r="21" spans="1:9" ht="15.75" x14ac:dyDescent="0.25">
      <c r="A21" s="102">
        <v>18</v>
      </c>
      <c r="B21" s="103" t="s">
        <v>317</v>
      </c>
      <c r="C21" s="104" t="s">
        <v>300</v>
      </c>
      <c r="D21" s="105">
        <v>1</v>
      </c>
      <c r="E21" s="109">
        <v>299040</v>
      </c>
    </row>
    <row r="22" spans="1:9" ht="15.75" x14ac:dyDescent="0.25">
      <c r="A22" s="102">
        <v>19</v>
      </c>
      <c r="B22" s="103" t="s">
        <v>318</v>
      </c>
      <c r="C22" s="104" t="s">
        <v>300</v>
      </c>
      <c r="D22" s="105">
        <v>1</v>
      </c>
      <c r="E22" s="109">
        <v>914480</v>
      </c>
    </row>
    <row r="23" spans="1:9" ht="15.75" x14ac:dyDescent="0.25">
      <c r="A23" s="102">
        <v>20</v>
      </c>
      <c r="B23" s="103" t="s">
        <v>319</v>
      </c>
      <c r="C23" s="104" t="s">
        <v>300</v>
      </c>
      <c r="D23" s="105">
        <v>2</v>
      </c>
      <c r="E23" s="109">
        <v>125440</v>
      </c>
    </row>
    <row r="24" spans="1:9" ht="15.75" x14ac:dyDescent="0.25">
      <c r="A24" s="102">
        <v>21</v>
      </c>
      <c r="B24" s="103" t="s">
        <v>320</v>
      </c>
      <c r="C24" s="104" t="s">
        <v>300</v>
      </c>
      <c r="D24" s="105">
        <v>1</v>
      </c>
      <c r="E24" s="109">
        <v>266090</v>
      </c>
    </row>
    <row r="25" spans="1:9" ht="15.75" x14ac:dyDescent="0.25">
      <c r="A25" s="102">
        <v>22</v>
      </c>
      <c r="B25" s="103" t="s">
        <v>316</v>
      </c>
      <c r="C25" s="104" t="s">
        <v>300</v>
      </c>
      <c r="D25" s="105">
        <v>1</v>
      </c>
      <c r="E25" s="109">
        <v>940800</v>
      </c>
    </row>
    <row r="26" spans="1:9" ht="15.75" x14ac:dyDescent="0.25">
      <c r="A26" s="102">
        <v>23</v>
      </c>
      <c r="B26" s="103" t="s">
        <v>317</v>
      </c>
      <c r="C26" s="104" t="s">
        <v>300</v>
      </c>
      <c r="D26" s="105">
        <v>1</v>
      </c>
      <c r="E26" s="109">
        <v>299040</v>
      </c>
    </row>
    <row r="27" spans="1:9" ht="15.75" x14ac:dyDescent="0.25">
      <c r="A27" s="102">
        <v>24</v>
      </c>
      <c r="B27" s="103" t="s">
        <v>308</v>
      </c>
      <c r="C27" s="104" t="s">
        <v>300</v>
      </c>
      <c r="D27" s="105">
        <v>1</v>
      </c>
      <c r="E27" s="109">
        <v>118720</v>
      </c>
    </row>
    <row r="28" spans="1:9" ht="15.75" x14ac:dyDescent="0.25">
      <c r="A28" s="102">
        <v>25</v>
      </c>
      <c r="B28" s="103" t="s">
        <v>321</v>
      </c>
      <c r="C28" s="104" t="s">
        <v>300</v>
      </c>
      <c r="D28" s="105">
        <v>4</v>
      </c>
      <c r="E28" s="109">
        <v>360416</v>
      </c>
    </row>
    <row r="29" spans="1:9" ht="15.75" x14ac:dyDescent="0.25">
      <c r="A29" s="102">
        <v>25</v>
      </c>
      <c r="B29" s="103" t="s">
        <v>322</v>
      </c>
      <c r="C29" s="104" t="s">
        <v>300</v>
      </c>
      <c r="D29" s="105">
        <v>1</v>
      </c>
      <c r="E29" s="109">
        <v>117600</v>
      </c>
    </row>
    <row r="30" spans="1:9" ht="15.75" x14ac:dyDescent="0.25">
      <c r="A30" s="102">
        <v>27</v>
      </c>
      <c r="B30" s="103" t="s">
        <v>323</v>
      </c>
      <c r="C30" s="104" t="s">
        <v>300</v>
      </c>
      <c r="D30" s="105">
        <v>1</v>
      </c>
      <c r="E30" s="109">
        <v>319200</v>
      </c>
    </row>
    <row r="31" spans="1:9" ht="15.75" x14ac:dyDescent="0.25">
      <c r="A31" s="102">
        <v>28</v>
      </c>
      <c r="B31" s="103" t="s">
        <v>324</v>
      </c>
      <c r="C31" s="104" t="s">
        <v>300</v>
      </c>
      <c r="D31" s="105">
        <v>1</v>
      </c>
      <c r="E31" s="109">
        <v>81760</v>
      </c>
    </row>
    <row r="32" spans="1:9" ht="15.75" x14ac:dyDescent="0.25">
      <c r="A32" s="102">
        <v>29</v>
      </c>
      <c r="B32" s="103" t="s">
        <v>325</v>
      </c>
      <c r="C32" s="104" t="s">
        <v>300</v>
      </c>
      <c r="D32" s="105">
        <v>1</v>
      </c>
      <c r="E32" s="109">
        <v>8400</v>
      </c>
    </row>
    <row r="33" spans="1:5" ht="15.75" x14ac:dyDescent="0.25">
      <c r="A33" s="102">
        <v>30</v>
      </c>
      <c r="B33" s="103" t="s">
        <v>326</v>
      </c>
      <c r="C33" s="104" t="s">
        <v>300</v>
      </c>
      <c r="D33" s="105">
        <v>1</v>
      </c>
      <c r="E33" s="109">
        <v>241900</v>
      </c>
    </row>
    <row r="34" spans="1:5" ht="15.75" x14ac:dyDescent="0.25">
      <c r="A34" s="102">
        <v>31</v>
      </c>
      <c r="B34" s="103" t="s">
        <v>327</v>
      </c>
      <c r="C34" s="104" t="s">
        <v>300</v>
      </c>
      <c r="D34" s="105">
        <v>1</v>
      </c>
      <c r="E34" s="109">
        <v>183490</v>
      </c>
    </row>
    <row r="35" spans="1:5" ht="15.75" x14ac:dyDescent="0.25">
      <c r="A35" s="102">
        <v>32</v>
      </c>
      <c r="B35" s="103" t="s">
        <v>328</v>
      </c>
      <c r="C35" s="104" t="s">
        <v>300</v>
      </c>
      <c r="D35" s="105">
        <v>1</v>
      </c>
      <c r="E35" s="109">
        <v>359900</v>
      </c>
    </row>
    <row r="36" spans="1:5" ht="15.75" x14ac:dyDescent="0.25">
      <c r="A36" s="102">
        <v>33</v>
      </c>
      <c r="B36" s="103" t="s">
        <v>329</v>
      </c>
      <c r="C36" s="104" t="s">
        <v>300</v>
      </c>
      <c r="D36" s="105">
        <v>1</v>
      </c>
      <c r="E36" s="109">
        <v>103712</v>
      </c>
    </row>
    <row r="37" spans="1:5" ht="15.75" x14ac:dyDescent="0.25">
      <c r="A37" s="102">
        <v>34</v>
      </c>
      <c r="B37" s="103" t="s">
        <v>330</v>
      </c>
      <c r="C37" s="104" t="s">
        <v>300</v>
      </c>
      <c r="D37" s="105">
        <v>1</v>
      </c>
      <c r="E37" s="109">
        <v>117600</v>
      </c>
    </row>
    <row r="38" spans="1:5" ht="15.75" x14ac:dyDescent="0.25">
      <c r="A38" s="102">
        <v>35</v>
      </c>
      <c r="B38" s="103" t="s">
        <v>331</v>
      </c>
      <c r="C38" s="104" t="s">
        <v>300</v>
      </c>
      <c r="D38" s="105">
        <v>1</v>
      </c>
      <c r="E38" s="109">
        <v>336000</v>
      </c>
    </row>
    <row r="39" spans="1:5" ht="15.75" x14ac:dyDescent="0.25">
      <c r="A39" s="102">
        <v>36</v>
      </c>
      <c r="B39" s="106" t="s">
        <v>332</v>
      </c>
      <c r="C39" s="104" t="s">
        <v>300</v>
      </c>
      <c r="D39" s="106">
        <v>2</v>
      </c>
      <c r="E39" s="109">
        <v>1881600</v>
      </c>
    </row>
    <row r="40" spans="1:5" ht="15.75" x14ac:dyDescent="0.25">
      <c r="A40" s="102">
        <v>37</v>
      </c>
      <c r="B40" s="106" t="s">
        <v>333</v>
      </c>
      <c r="C40" s="104" t="s">
        <v>300</v>
      </c>
      <c r="D40" s="106">
        <v>1</v>
      </c>
      <c r="E40" s="109">
        <v>299040</v>
      </c>
    </row>
    <row r="41" spans="1:5" ht="15.75" x14ac:dyDescent="0.25">
      <c r="A41" s="102">
        <v>38</v>
      </c>
      <c r="B41" s="106" t="s">
        <v>334</v>
      </c>
      <c r="C41" s="104" t="s">
        <v>300</v>
      </c>
      <c r="D41" s="106">
        <v>1</v>
      </c>
      <c r="E41" s="109">
        <v>118720</v>
      </c>
    </row>
    <row r="42" spans="1:5" ht="15.75" x14ac:dyDescent="0.25">
      <c r="A42" s="102">
        <v>39</v>
      </c>
      <c r="B42" s="106" t="s">
        <v>309</v>
      </c>
      <c r="C42" s="104" t="s">
        <v>300</v>
      </c>
      <c r="D42" s="106">
        <v>2</v>
      </c>
      <c r="E42" s="109">
        <v>50400</v>
      </c>
    </row>
    <row r="43" spans="1:5" ht="15.75" x14ac:dyDescent="0.25">
      <c r="A43" s="102">
        <v>40</v>
      </c>
      <c r="B43" s="106" t="s">
        <v>335</v>
      </c>
      <c r="C43" s="104" t="s">
        <v>300</v>
      </c>
      <c r="D43" s="106">
        <v>2</v>
      </c>
      <c r="E43" s="109">
        <v>39200</v>
      </c>
    </row>
    <row r="44" spans="1:5" ht="15.75" x14ac:dyDescent="0.25">
      <c r="A44" s="102">
        <v>41</v>
      </c>
      <c r="B44" s="106" t="s">
        <v>336</v>
      </c>
      <c r="C44" s="104" t="s">
        <v>300</v>
      </c>
      <c r="D44" s="106">
        <v>2</v>
      </c>
      <c r="E44" s="109">
        <v>169792</v>
      </c>
    </row>
    <row r="45" spans="1:5" ht="15.75" x14ac:dyDescent="0.25">
      <c r="A45" s="102">
        <v>42</v>
      </c>
      <c r="B45" s="106" t="s">
        <v>337</v>
      </c>
      <c r="C45" s="104" t="s">
        <v>300</v>
      </c>
      <c r="D45" s="106">
        <v>1</v>
      </c>
      <c r="E45" s="109">
        <v>424800</v>
      </c>
    </row>
    <row r="46" spans="1:5" ht="15.75" x14ac:dyDescent="0.25">
      <c r="A46" s="102">
        <v>43</v>
      </c>
      <c r="B46" s="106" t="s">
        <v>338</v>
      </c>
      <c r="C46" s="104" t="s">
        <v>300</v>
      </c>
      <c r="D46" s="106">
        <v>4</v>
      </c>
      <c r="E46" s="109">
        <v>2576000</v>
      </c>
    </row>
    <row r="47" spans="1:5" ht="15.75" x14ac:dyDescent="0.25">
      <c r="A47" s="102">
        <v>44</v>
      </c>
      <c r="B47" s="106" t="s">
        <v>339</v>
      </c>
      <c r="C47" s="104" t="s">
        <v>300</v>
      </c>
      <c r="D47" s="106">
        <v>1</v>
      </c>
      <c r="E47" s="109">
        <v>224000</v>
      </c>
    </row>
    <row r="48" spans="1:5" ht="15.75" x14ac:dyDescent="0.25">
      <c r="A48" s="102">
        <v>45</v>
      </c>
      <c r="B48" s="106" t="s">
        <v>340</v>
      </c>
      <c r="C48" s="104" t="s">
        <v>300</v>
      </c>
      <c r="D48" s="106">
        <v>1</v>
      </c>
      <c r="E48" s="109">
        <v>1825040</v>
      </c>
    </row>
    <row r="49" spans="1:5" ht="15.75" x14ac:dyDescent="0.25">
      <c r="A49" s="102">
        <v>46</v>
      </c>
      <c r="B49" s="106" t="s">
        <v>341</v>
      </c>
      <c r="C49" s="104" t="s">
        <v>300</v>
      </c>
      <c r="D49" s="106">
        <v>1</v>
      </c>
      <c r="E49" s="109">
        <v>2016000</v>
      </c>
    </row>
    <row r="50" spans="1:5" ht="15.75" x14ac:dyDescent="0.25">
      <c r="A50" s="102">
        <v>47</v>
      </c>
      <c r="B50" s="106" t="s">
        <v>342</v>
      </c>
      <c r="C50" s="104" t="s">
        <v>300</v>
      </c>
      <c r="D50" s="106">
        <v>1</v>
      </c>
      <c r="E50" s="109">
        <v>532000</v>
      </c>
    </row>
    <row r="51" spans="1:5" ht="15.75" x14ac:dyDescent="0.25">
      <c r="A51" s="102">
        <v>48</v>
      </c>
      <c r="B51" s="106" t="s">
        <v>332</v>
      </c>
      <c r="C51" s="104" t="s">
        <v>300</v>
      </c>
      <c r="D51" s="106">
        <v>2</v>
      </c>
      <c r="E51" s="109">
        <v>2800000</v>
      </c>
    </row>
    <row r="52" spans="1:5" ht="15.75" x14ac:dyDescent="0.25">
      <c r="A52" s="102">
        <v>49</v>
      </c>
      <c r="B52" s="106" t="s">
        <v>343</v>
      </c>
      <c r="C52" s="104" t="s">
        <v>300</v>
      </c>
      <c r="D52" s="106">
        <v>4</v>
      </c>
      <c r="E52" s="109">
        <v>360416</v>
      </c>
    </row>
    <row r="53" spans="1:5" ht="15.75" x14ac:dyDescent="0.25">
      <c r="A53" s="102">
        <v>50</v>
      </c>
      <c r="B53" s="106" t="s">
        <v>344</v>
      </c>
      <c r="C53" s="104" t="s">
        <v>300</v>
      </c>
      <c r="D53" s="106">
        <v>1</v>
      </c>
      <c r="E53" s="109">
        <v>211008</v>
      </c>
    </row>
    <row r="54" spans="1:5" ht="15.75" x14ac:dyDescent="0.25">
      <c r="A54" s="102">
        <v>51</v>
      </c>
      <c r="B54" s="106" t="s">
        <v>345</v>
      </c>
      <c r="C54" s="104" t="s">
        <v>300</v>
      </c>
      <c r="D54" s="106">
        <v>1</v>
      </c>
      <c r="E54" s="109">
        <v>1260000</v>
      </c>
    </row>
    <row r="55" spans="1:5" ht="15.75" x14ac:dyDescent="0.25">
      <c r="A55" s="102">
        <v>52</v>
      </c>
      <c r="B55" s="106" t="s">
        <v>346</v>
      </c>
      <c r="C55" s="104" t="s">
        <v>300</v>
      </c>
      <c r="D55" s="106">
        <v>1</v>
      </c>
      <c r="E55" s="109">
        <v>165760</v>
      </c>
    </row>
    <row r="56" spans="1:5" ht="15.75" x14ac:dyDescent="0.25">
      <c r="A56" s="102">
        <v>53</v>
      </c>
      <c r="B56" s="106" t="s">
        <v>347</v>
      </c>
      <c r="C56" s="104" t="s">
        <v>300</v>
      </c>
      <c r="D56" s="106">
        <v>4</v>
      </c>
      <c r="E56" s="109">
        <v>232960</v>
      </c>
    </row>
    <row r="57" spans="1:5" ht="15.75" x14ac:dyDescent="0.25">
      <c r="A57" s="102">
        <v>54</v>
      </c>
      <c r="B57" s="106" t="s">
        <v>348</v>
      </c>
      <c r="C57" s="104" t="s">
        <v>300</v>
      </c>
      <c r="D57" s="106">
        <v>1</v>
      </c>
      <c r="E57" s="109">
        <v>314720</v>
      </c>
    </row>
    <row r="58" spans="1:5" ht="15.75" x14ac:dyDescent="0.25">
      <c r="A58" s="102">
        <v>55</v>
      </c>
      <c r="B58" s="106" t="s">
        <v>349</v>
      </c>
      <c r="C58" s="104" t="s">
        <v>300</v>
      </c>
      <c r="D58" s="106">
        <v>1</v>
      </c>
      <c r="E58" s="109">
        <v>39200</v>
      </c>
    </row>
    <row r="59" spans="1:5" ht="15.75" x14ac:dyDescent="0.25">
      <c r="A59" s="102">
        <v>56</v>
      </c>
      <c r="B59" s="106" t="s">
        <v>349</v>
      </c>
      <c r="C59" s="104" t="s">
        <v>300</v>
      </c>
      <c r="D59" s="106">
        <v>1</v>
      </c>
      <c r="E59" s="109">
        <v>78400</v>
      </c>
    </row>
    <row r="60" spans="1:5" ht="15.75" x14ac:dyDescent="0.25">
      <c r="A60" s="102">
        <v>57</v>
      </c>
      <c r="B60" s="106" t="s">
        <v>350</v>
      </c>
      <c r="C60" s="104" t="s">
        <v>300</v>
      </c>
      <c r="D60" s="106">
        <v>1</v>
      </c>
      <c r="E60" s="109">
        <v>224000</v>
      </c>
    </row>
    <row r="61" spans="1:5" ht="15.75" x14ac:dyDescent="0.25">
      <c r="A61" s="102">
        <v>58</v>
      </c>
      <c r="B61" s="106" t="s">
        <v>351</v>
      </c>
      <c r="C61" s="104" t="s">
        <v>300</v>
      </c>
      <c r="D61" s="106">
        <v>1</v>
      </c>
      <c r="E61" s="109">
        <v>61600</v>
      </c>
    </row>
    <row r="62" spans="1:5" ht="15.75" x14ac:dyDescent="0.25">
      <c r="A62" s="102">
        <v>59</v>
      </c>
      <c r="B62" s="107" t="s">
        <v>352</v>
      </c>
      <c r="C62" s="104" t="s">
        <v>300</v>
      </c>
      <c r="D62" s="107">
        <v>1</v>
      </c>
      <c r="E62" s="109">
        <v>204960</v>
      </c>
    </row>
    <row r="63" spans="1:5" ht="15.75" x14ac:dyDescent="0.25">
      <c r="A63" s="102">
        <v>60</v>
      </c>
      <c r="B63" s="106" t="s">
        <v>353</v>
      </c>
      <c r="C63" s="104" t="s">
        <v>300</v>
      </c>
      <c r="D63" s="106">
        <v>1</v>
      </c>
      <c r="E63" s="109">
        <v>189840</v>
      </c>
    </row>
    <row r="64" spans="1:5" ht="15.75" x14ac:dyDescent="0.25">
      <c r="A64" s="102">
        <v>61</v>
      </c>
      <c r="B64" s="106" t="s">
        <v>354</v>
      </c>
      <c r="C64" s="104" t="s">
        <v>300</v>
      </c>
      <c r="D64" s="106">
        <v>1</v>
      </c>
      <c r="E64" s="109">
        <v>1176000</v>
      </c>
    </row>
    <row r="65" spans="1:5" ht="15.75" x14ac:dyDescent="0.25">
      <c r="A65" s="102">
        <v>62</v>
      </c>
      <c r="B65" s="106" t="s">
        <v>355</v>
      </c>
      <c r="C65" s="104" t="s">
        <v>300</v>
      </c>
      <c r="D65" s="106">
        <v>1</v>
      </c>
      <c r="E65" s="109">
        <v>140000</v>
      </c>
    </row>
    <row r="66" spans="1:5" ht="15.75" x14ac:dyDescent="0.25">
      <c r="A66" s="102">
        <v>63</v>
      </c>
      <c r="B66" s="106" t="s">
        <v>356</v>
      </c>
      <c r="C66" s="104" t="s">
        <v>300</v>
      </c>
      <c r="D66" s="106">
        <v>1</v>
      </c>
      <c r="E66" s="109">
        <v>1680000</v>
      </c>
    </row>
    <row r="67" spans="1:5" ht="30" x14ac:dyDescent="0.25">
      <c r="A67" s="102">
        <v>64</v>
      </c>
      <c r="B67" s="107" t="s">
        <v>357</v>
      </c>
      <c r="C67" s="107" t="s">
        <v>358</v>
      </c>
      <c r="D67" s="107">
        <v>1</v>
      </c>
      <c r="E67" s="109">
        <v>12099999</v>
      </c>
    </row>
    <row r="68" spans="1:5" ht="30" x14ac:dyDescent="0.25">
      <c r="A68" s="102">
        <v>65</v>
      </c>
      <c r="B68" s="107" t="s">
        <v>359</v>
      </c>
      <c r="C68" s="107" t="s">
        <v>358</v>
      </c>
      <c r="D68" s="107">
        <v>1</v>
      </c>
      <c r="E68" s="109">
        <v>1600000</v>
      </c>
    </row>
    <row r="69" spans="1:5" ht="45" x14ac:dyDescent="0.25">
      <c r="A69" s="102">
        <v>66</v>
      </c>
      <c r="B69" s="107" t="s">
        <v>360</v>
      </c>
      <c r="C69" s="107" t="s">
        <v>361</v>
      </c>
      <c r="D69" s="108" t="s">
        <v>362</v>
      </c>
      <c r="E69" s="109">
        <v>14879999</v>
      </c>
    </row>
    <row r="70" spans="1:5" ht="15.75" x14ac:dyDescent="0.25">
      <c r="A70" s="102">
        <v>66</v>
      </c>
      <c r="B70" s="106" t="s">
        <v>363</v>
      </c>
      <c r="C70" s="104" t="s">
        <v>364</v>
      </c>
      <c r="D70" s="108" t="s">
        <v>362</v>
      </c>
      <c r="E70" s="109">
        <v>34536907</v>
      </c>
    </row>
    <row r="71" spans="1:5" ht="15.75" x14ac:dyDescent="0.25">
      <c r="A71" s="102">
        <v>67</v>
      </c>
      <c r="B71" s="106" t="s">
        <v>365</v>
      </c>
      <c r="C71" s="104" t="s">
        <v>366</v>
      </c>
      <c r="D71" s="108" t="s">
        <v>362</v>
      </c>
      <c r="E71" s="109">
        <v>15473228</v>
      </c>
    </row>
    <row r="72" spans="1:5" x14ac:dyDescent="0.25">
      <c r="A72" s="110"/>
      <c r="B72" s="110"/>
      <c r="C72" s="110"/>
      <c r="D72" s="110"/>
      <c r="E72" s="109"/>
    </row>
    <row r="73" spans="1:5" x14ac:dyDescent="0.25">
      <c r="A73" s="110"/>
      <c r="B73" s="110"/>
      <c r="C73" s="110"/>
      <c r="D73" s="110"/>
      <c r="E73" s="110"/>
    </row>
    <row r="74" spans="1:5" x14ac:dyDescent="0.25">
      <c r="A74" s="110"/>
      <c r="B74" s="110"/>
      <c r="C74" s="110"/>
      <c r="D74" s="110"/>
      <c r="E74" s="110"/>
    </row>
    <row r="75" spans="1:5" x14ac:dyDescent="0.25">
      <c r="A75" s="110"/>
      <c r="B75" s="3" t="s">
        <v>11</v>
      </c>
      <c r="C75" s="110"/>
      <c r="D75" s="110"/>
      <c r="E75" s="111">
        <f>SUM(E4:E71)</f>
        <v>109927373</v>
      </c>
    </row>
    <row r="76" spans="1:5" x14ac:dyDescent="0.25">
      <c r="A76" s="110"/>
      <c r="B76" s="110"/>
      <c r="C76" s="110"/>
      <c r="D76" s="110"/>
      <c r="E76" s="110"/>
    </row>
    <row r="77" spans="1:5" x14ac:dyDescent="0.25">
      <c r="A77" s="110"/>
      <c r="B77" s="110"/>
      <c r="C77" s="110"/>
      <c r="D77" s="110"/>
      <c r="E77" s="1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1DA5-AD67-483C-83B6-72184CB77E37}">
  <dimension ref="A1:B10"/>
  <sheetViews>
    <sheetView workbookViewId="0">
      <selection activeCell="I16" sqref="I16"/>
    </sheetView>
  </sheetViews>
  <sheetFormatPr defaultRowHeight="15" x14ac:dyDescent="0.25"/>
  <cols>
    <col min="1" max="1" width="41" customWidth="1"/>
    <col min="2" max="2" width="17.140625" customWidth="1"/>
  </cols>
  <sheetData>
    <row r="1" spans="1:2" x14ac:dyDescent="0.25">
      <c r="A1" t="s">
        <v>289</v>
      </c>
    </row>
    <row r="2" spans="1:2" x14ac:dyDescent="0.25">
      <c r="B2" s="2" t="str">
        <f>'BS Proj.'!B4</f>
        <v>2023-24</v>
      </c>
    </row>
    <row r="3" spans="1:2" x14ac:dyDescent="0.25">
      <c r="B3" s="1" t="str">
        <f>'BS Proj.'!C5</f>
        <v>Projected</v>
      </c>
    </row>
    <row r="4" spans="1:2" x14ac:dyDescent="0.25">
      <c r="B4" t="s">
        <v>290</v>
      </c>
    </row>
    <row r="5" spans="1:2" x14ac:dyDescent="0.25">
      <c r="A5" t="s">
        <v>291</v>
      </c>
      <c r="B5" s="72">
        <f>'BS Proj.'!B18+'BS Proj.'!B19+'BS Proj.'!B23</f>
        <v>4.7293565599479166</v>
      </c>
    </row>
    <row r="6" spans="1:2" x14ac:dyDescent="0.25">
      <c r="A6" t="s">
        <v>292</v>
      </c>
      <c r="B6" s="72">
        <f>'BS Proj.'!B12+'BS Proj.'!B13+'BS Proj.'!B10</f>
        <v>2.1539345952477609</v>
      </c>
    </row>
    <row r="8" spans="1:2" x14ac:dyDescent="0.25">
      <c r="A8" t="s">
        <v>293</v>
      </c>
      <c r="B8" s="72">
        <f>B5-B6</f>
        <v>2.5754219647001557</v>
      </c>
    </row>
    <row r="10" spans="1:2" x14ac:dyDescent="0.25">
      <c r="A10" t="s">
        <v>10</v>
      </c>
      <c r="B10" s="72">
        <v>2.5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topLeftCell="A7" zoomScale="98" zoomScaleNormal="98" workbookViewId="0">
      <selection activeCell="M20" sqref="M20"/>
    </sheetView>
  </sheetViews>
  <sheetFormatPr defaultRowHeight="15" x14ac:dyDescent="0.25"/>
  <cols>
    <col min="1" max="1" width="25.140625" customWidth="1"/>
    <col min="2" max="2" width="12.140625" customWidth="1"/>
    <col min="3" max="3" width="11.85546875" customWidth="1"/>
    <col min="4" max="5" width="9.5703125" bestFit="1" customWidth="1"/>
    <col min="6" max="6" width="11.28515625" customWidth="1"/>
    <col min="7" max="7" width="9.5703125" bestFit="1" customWidth="1"/>
    <col min="8" max="8" width="9.5703125" customWidth="1"/>
  </cols>
  <sheetData>
    <row r="1" spans="1:8" ht="15.75" customHeight="1" x14ac:dyDescent="0.25">
      <c r="A1" s="117" t="s">
        <v>206</v>
      </c>
      <c r="B1" s="117"/>
      <c r="C1" s="117"/>
      <c r="D1" s="117"/>
      <c r="E1" s="117"/>
    </row>
    <row r="2" spans="1:8" ht="15.75" customHeight="1" x14ac:dyDescent="0.25">
      <c r="A2" s="118" t="s">
        <v>91</v>
      </c>
      <c r="B2" s="118"/>
      <c r="C2" s="118"/>
      <c r="D2" s="118"/>
      <c r="E2" s="118"/>
      <c r="F2" s="1" t="s">
        <v>200</v>
      </c>
    </row>
    <row r="3" spans="1:8" ht="15.75" customHeight="1" x14ac:dyDescent="0.25">
      <c r="A3" s="68"/>
      <c r="B3" s="68"/>
      <c r="C3" s="68"/>
      <c r="D3" s="68"/>
      <c r="E3" s="68"/>
    </row>
    <row r="4" spans="1:8" x14ac:dyDescent="0.25">
      <c r="A4" s="67"/>
      <c r="B4" s="65" t="str">
        <f>'Project Details'!C3</f>
        <v>2023-24</v>
      </c>
      <c r="C4" s="65" t="str">
        <f>'Project Details'!D3</f>
        <v>2024-25</v>
      </c>
      <c r="D4" s="65" t="str">
        <f>'Project Details'!E3</f>
        <v>2025-26</v>
      </c>
      <c r="E4" s="65" t="str">
        <f>'Project Details'!F3</f>
        <v>2026-27</v>
      </c>
      <c r="F4" s="65" t="str">
        <f>'Project Details'!G3</f>
        <v>2027-28</v>
      </c>
      <c r="G4" s="65" t="str">
        <f>'Project Details'!H3</f>
        <v>2028-29</v>
      </c>
      <c r="H4" s="65" t="str">
        <f>'Project Details'!I3</f>
        <v>2029-30</v>
      </c>
    </row>
    <row r="5" spans="1:8" x14ac:dyDescent="0.25">
      <c r="B5" s="65" t="s">
        <v>90</v>
      </c>
      <c r="C5" s="65" t="s">
        <v>90</v>
      </c>
      <c r="D5" s="65" t="s">
        <v>90</v>
      </c>
      <c r="E5" s="65" t="s">
        <v>90</v>
      </c>
      <c r="F5" s="65" t="s">
        <v>90</v>
      </c>
      <c r="G5" s="65" t="s">
        <v>90</v>
      </c>
      <c r="H5" s="65" t="s">
        <v>90</v>
      </c>
    </row>
    <row r="6" spans="1:8" x14ac:dyDescent="0.25">
      <c r="A6" s="2" t="s">
        <v>82</v>
      </c>
      <c r="B6" s="2"/>
    </row>
    <row r="7" spans="1:8" x14ac:dyDescent="0.25">
      <c r="A7" t="s">
        <v>89</v>
      </c>
      <c r="B7" s="60">
        <f>'Project Cost'!D23</f>
        <v>10.120000000000001</v>
      </c>
      <c r="C7" s="60">
        <f t="shared" ref="C7:H7" si="0">B7</f>
        <v>10.120000000000001</v>
      </c>
      <c r="D7" s="60">
        <f t="shared" si="0"/>
        <v>10.120000000000001</v>
      </c>
      <c r="E7" s="60">
        <f t="shared" si="0"/>
        <v>10.120000000000001</v>
      </c>
      <c r="F7" s="60">
        <f t="shared" si="0"/>
        <v>10.120000000000001</v>
      </c>
      <c r="G7" s="60">
        <f t="shared" si="0"/>
        <v>10.120000000000001</v>
      </c>
      <c r="H7" s="60">
        <f t="shared" si="0"/>
        <v>10.120000000000001</v>
      </c>
    </row>
    <row r="8" spans="1:8" x14ac:dyDescent="0.25">
      <c r="A8" t="s">
        <v>83</v>
      </c>
      <c r="B8" s="69">
        <f>'Project Details'!C49</f>
        <v>4.6326006302067388E-2</v>
      </c>
      <c r="C8" s="60">
        <f>B8+'Project Details'!D49</f>
        <v>1.1562957981859645</v>
      </c>
      <c r="D8" s="60">
        <f>C8+'Project Details'!E47</f>
        <v>3.3939192114389019</v>
      </c>
      <c r="E8" s="60">
        <f>D8+'Project Details'!F47</f>
        <v>6.3277381038305265</v>
      </c>
      <c r="F8" s="60">
        <f>E8+'Project Details'!G47</f>
        <v>9.9267683684352086</v>
      </c>
      <c r="G8" s="60">
        <f>F8+'Project Details'!H47</f>
        <v>14.073250792469107</v>
      </c>
      <c r="H8" s="60">
        <f>G8+'Project Details'!I47</f>
        <v>18.91024534410861</v>
      </c>
    </row>
    <row r="9" spans="1:8" x14ac:dyDescent="0.25">
      <c r="A9" t="s">
        <v>92</v>
      </c>
      <c r="B9" s="60">
        <f>12-B10</f>
        <v>10.8</v>
      </c>
      <c r="C9" s="60">
        <f>B9-C10</f>
        <v>9.36</v>
      </c>
      <c r="D9" s="60">
        <f t="shared" ref="D9:H9" si="1">C9-D10</f>
        <v>7.56</v>
      </c>
      <c r="E9" s="60">
        <f t="shared" si="1"/>
        <v>5.4</v>
      </c>
      <c r="F9" s="60">
        <f t="shared" si="1"/>
        <v>3.0000000000000004</v>
      </c>
      <c r="G9" s="60">
        <f t="shared" si="1"/>
        <v>0</v>
      </c>
      <c r="H9" s="60">
        <f t="shared" si="1"/>
        <v>0</v>
      </c>
    </row>
    <row r="10" spans="1:8" s="74" customFormat="1" ht="30" x14ac:dyDescent="0.25">
      <c r="A10" s="74" t="s">
        <v>117</v>
      </c>
      <c r="B10" s="76">
        <f>'Project Details'!D53</f>
        <v>1.2</v>
      </c>
      <c r="C10" s="76">
        <f>'Project Details'!E53</f>
        <v>1.4400000000000004</v>
      </c>
      <c r="D10" s="76">
        <f>'Project Details'!F53</f>
        <v>1.7999999999999996</v>
      </c>
      <c r="E10" s="76">
        <f>'Project Details'!G53</f>
        <v>2.1599999999999997</v>
      </c>
      <c r="F10" s="76">
        <f>'Project Details'!H53</f>
        <v>2.4</v>
      </c>
      <c r="G10" s="76">
        <f>'Project Details'!I53</f>
        <v>3</v>
      </c>
      <c r="H10" s="76">
        <v>0</v>
      </c>
    </row>
    <row r="11" spans="1:8" x14ac:dyDescent="0.25">
      <c r="A11" t="s">
        <v>96</v>
      </c>
      <c r="B11" s="60">
        <f>'Project Cost'!D25</f>
        <v>2</v>
      </c>
      <c r="C11" s="60">
        <f t="shared" ref="C11:H11" si="2">B11</f>
        <v>2</v>
      </c>
      <c r="D11" s="60">
        <f t="shared" si="2"/>
        <v>2</v>
      </c>
      <c r="E11" s="60">
        <f t="shared" si="2"/>
        <v>2</v>
      </c>
      <c r="F11" s="60">
        <f t="shared" si="2"/>
        <v>2</v>
      </c>
      <c r="G11" s="60">
        <f t="shared" si="2"/>
        <v>2</v>
      </c>
      <c r="H11" s="60">
        <f t="shared" si="2"/>
        <v>2</v>
      </c>
    </row>
    <row r="12" spans="1:8" x14ac:dyDescent="0.25">
      <c r="A12" t="s">
        <v>88</v>
      </c>
      <c r="B12" s="60">
        <f>(('Project Details'!C17+'Project Details'!C18+'Project Details'!C19)/(7))</f>
        <v>0.93408059254687503</v>
      </c>
      <c r="C12" s="60">
        <f>(('Project Details'!D17+'Project Details'!D18+'Project Details'!D19)/(7))</f>
        <v>1.7614091173741078</v>
      </c>
      <c r="D12" s="60">
        <f>(('Project Details'!E17+'Project Details'!E18+'Project Details'!E19)/(7))</f>
        <v>2.0816653205330362</v>
      </c>
      <c r="E12" s="60">
        <f>(('Project Details'!F17+'Project Details'!F18+'Project Details'!F19)/(7))</f>
        <v>2.2417934221125</v>
      </c>
      <c r="F12" s="60">
        <f>(('Project Details'!G17+'Project Details'!G18+'Project Details'!G19)/(7))</f>
        <v>2.4019215236919647</v>
      </c>
      <c r="G12" s="60">
        <f>(('Project Details'!H17+'Project Details'!H18+'Project Details'!H19)/(7))</f>
        <v>2.5620496252714289</v>
      </c>
      <c r="H12" s="60">
        <f>(('Project Details'!I17+'Project Details'!I18+'Project Details'!I19)/(7))</f>
        <v>2.7221777268508935</v>
      </c>
    </row>
    <row r="13" spans="1:8" x14ac:dyDescent="0.25">
      <c r="A13" t="s">
        <v>93</v>
      </c>
      <c r="B13" s="69">
        <f>'Project Details'!C46</f>
        <v>1.9854002700886022E-2</v>
      </c>
      <c r="C13" s="69">
        <f>'Project Details'!D46</f>
        <v>0.47570133937881298</v>
      </c>
      <c r="D13" s="69">
        <f>'Project Details'!E46</f>
        <v>0.95898146282268737</v>
      </c>
      <c r="E13" s="69">
        <f>'Project Details'!F46</f>
        <v>1.2573509538821244</v>
      </c>
      <c r="F13" s="69">
        <f>'Project Details'!G46</f>
        <v>1.5424415419734354</v>
      </c>
      <c r="G13" s="69">
        <f>'Project Details'!H46</f>
        <v>1.7770638960145277</v>
      </c>
      <c r="H13" s="69">
        <f>'Project Details'!I46</f>
        <v>2.0729976649883586</v>
      </c>
    </row>
    <row r="14" spans="1:8" x14ac:dyDescent="0.25">
      <c r="B14" s="60"/>
      <c r="C14" s="60"/>
      <c r="D14" s="60"/>
      <c r="E14" s="60"/>
    </row>
    <row r="15" spans="1:8" ht="15.75" thickBot="1" x14ac:dyDescent="0.3">
      <c r="A15" s="61" t="s">
        <v>11</v>
      </c>
      <c r="B15" s="71">
        <f>SUM(B7:B13)</f>
        <v>25.120260601549827</v>
      </c>
      <c r="C15" s="71">
        <f t="shared" ref="C15:H15" si="3">SUM(C7:C13)</f>
        <v>26.313406254938887</v>
      </c>
      <c r="D15" s="71">
        <f t="shared" si="3"/>
        <v>27.914565994794629</v>
      </c>
      <c r="E15" s="71">
        <f t="shared" si="3"/>
        <v>29.506882479825155</v>
      </c>
      <c r="F15" s="71">
        <f t="shared" si="3"/>
        <v>31.391131434100608</v>
      </c>
      <c r="G15" s="71">
        <f t="shared" si="3"/>
        <v>33.53236431375506</v>
      </c>
      <c r="H15" s="71">
        <f t="shared" si="3"/>
        <v>35.825420735947858</v>
      </c>
    </row>
    <row r="16" spans="1:8" x14ac:dyDescent="0.25">
      <c r="A16" s="2" t="s">
        <v>84</v>
      </c>
      <c r="B16" s="70"/>
      <c r="C16" s="60"/>
      <c r="D16" s="60"/>
      <c r="E16" s="60"/>
    </row>
    <row r="17" spans="1:8" x14ac:dyDescent="0.25">
      <c r="A17" t="s">
        <v>85</v>
      </c>
      <c r="B17" s="60">
        <f>Dep!C20</f>
        <v>19.802347916666665</v>
      </c>
      <c r="C17" s="60">
        <f>Dep!D20</f>
        <v>17.320238124999999</v>
      </c>
      <c r="D17" s="60">
        <f>Dep!E20</f>
        <v>15.1616205625</v>
      </c>
      <c r="E17" s="60">
        <f>Dep!F20</f>
        <v>13.28285381875</v>
      </c>
      <c r="F17" s="60">
        <f>Dep!G20</f>
        <v>11.646354452500001</v>
      </c>
      <c r="G17" s="60">
        <f>Dep!H20</f>
        <v>10.219737120531251</v>
      </c>
      <c r="H17" s="60">
        <f>Dep!I20</f>
        <v>8.9750788047671879</v>
      </c>
    </row>
    <row r="18" spans="1:8" x14ac:dyDescent="0.25">
      <c r="A18" t="s">
        <v>86</v>
      </c>
      <c r="B18" s="60">
        <f>'Project Details'!C13/12*2</f>
        <v>2.4993565599479166</v>
      </c>
      <c r="C18" s="60">
        <f>'Project Details'!D13/12*2</f>
        <v>4.7130723701875015</v>
      </c>
      <c r="D18" s="60">
        <f>'Project Details'!E13/12*2</f>
        <v>5.5699946193125003</v>
      </c>
      <c r="E18" s="60">
        <f>'Project Details'!F13/12*2</f>
        <v>5.9984557438749997</v>
      </c>
      <c r="F18" s="60">
        <f>'Project Details'!G13/12*2</f>
        <v>6.4269168684374991</v>
      </c>
      <c r="G18" s="60">
        <f>'Project Details'!H13/12*2</f>
        <v>6.8553779930000003</v>
      </c>
      <c r="H18" s="60">
        <f>'Project Details'!I13/12*2</f>
        <v>7.2838391175625006</v>
      </c>
    </row>
    <row r="19" spans="1:8" s="74" customFormat="1" ht="90" x14ac:dyDescent="0.25">
      <c r="A19" s="74" t="s">
        <v>377</v>
      </c>
      <c r="B19" s="119">
        <v>2</v>
      </c>
      <c r="C19" s="119">
        <v>2.6</v>
      </c>
      <c r="D19" s="119">
        <v>4</v>
      </c>
      <c r="E19" s="119">
        <v>6</v>
      </c>
      <c r="F19" s="119">
        <v>8</v>
      </c>
      <c r="G19" s="119">
        <v>10</v>
      </c>
      <c r="H19" s="119">
        <v>12.5</v>
      </c>
    </row>
    <row r="20" spans="1:8" x14ac:dyDescent="0.25">
      <c r="A20" t="s">
        <v>87</v>
      </c>
      <c r="B20" s="60">
        <v>0.36</v>
      </c>
      <c r="C20" s="60">
        <v>1</v>
      </c>
      <c r="D20" s="60">
        <v>2.0099999999999998</v>
      </c>
      <c r="E20" s="60">
        <v>2.96</v>
      </c>
      <c r="F20" s="60">
        <v>3.92</v>
      </c>
      <c r="G20" s="60">
        <v>4.8099999999999996</v>
      </c>
      <c r="H20" s="60">
        <v>5.17</v>
      </c>
    </row>
    <row r="21" spans="1:8" x14ac:dyDescent="0.25">
      <c r="A21" t="s">
        <v>115</v>
      </c>
      <c r="B21" s="60">
        <v>0.08</v>
      </c>
      <c r="C21" s="60">
        <v>0.06</v>
      </c>
      <c r="D21" s="60">
        <v>0.04</v>
      </c>
      <c r="E21" s="60">
        <v>0.02</v>
      </c>
      <c r="F21" s="60">
        <v>0</v>
      </c>
      <c r="G21" s="60">
        <v>0</v>
      </c>
      <c r="H21" s="60">
        <v>0</v>
      </c>
    </row>
    <row r="22" spans="1:8" x14ac:dyDescent="0.25">
      <c r="A22" t="s">
        <v>116</v>
      </c>
      <c r="B22" s="60">
        <f>'Project Cost'!D13</f>
        <v>0.15</v>
      </c>
      <c r="C22" s="60">
        <f>B22</f>
        <v>0.15</v>
      </c>
      <c r="D22" s="60">
        <f>B22</f>
        <v>0.15</v>
      </c>
      <c r="E22" s="60">
        <f t="shared" ref="E22" si="4">D22</f>
        <v>0.15</v>
      </c>
      <c r="F22" s="60">
        <f t="shared" ref="F22" si="5">D22</f>
        <v>0.15</v>
      </c>
      <c r="G22" s="60">
        <f t="shared" ref="G22" si="6">F22</f>
        <v>0.15</v>
      </c>
      <c r="H22" s="60">
        <f t="shared" ref="H22" si="7">F22</f>
        <v>0.15</v>
      </c>
    </row>
    <row r="23" spans="1:8" s="74" customFormat="1" ht="45" x14ac:dyDescent="0.25">
      <c r="A23" s="74" t="s">
        <v>118</v>
      </c>
      <c r="B23" s="77">
        <v>0.23</v>
      </c>
      <c r="C23" s="77">
        <v>0.47</v>
      </c>
      <c r="D23" s="77">
        <v>0.98</v>
      </c>
      <c r="E23" s="77">
        <v>1.1000000000000001</v>
      </c>
      <c r="F23" s="76">
        <v>1.25</v>
      </c>
      <c r="G23" s="76">
        <v>1.5</v>
      </c>
      <c r="H23" s="76">
        <v>1.75</v>
      </c>
    </row>
    <row r="24" spans="1:8" ht="15.75" thickBot="1" x14ac:dyDescent="0.3">
      <c r="A24" s="61" t="s">
        <v>11</v>
      </c>
      <c r="B24" s="71">
        <f t="shared" ref="B24:H24" si="8">SUM(B17:B23)</f>
        <v>25.121704476614578</v>
      </c>
      <c r="C24" s="71">
        <f t="shared" si="8"/>
        <v>26.313310495187498</v>
      </c>
      <c r="D24" s="71">
        <f t="shared" si="8"/>
        <v>27.911615181812497</v>
      </c>
      <c r="E24" s="71">
        <f t="shared" si="8"/>
        <v>29.511309562625001</v>
      </c>
      <c r="F24" s="71">
        <f t="shared" si="8"/>
        <v>31.393271320937501</v>
      </c>
      <c r="G24" s="71">
        <f t="shared" si="8"/>
        <v>33.535115113531248</v>
      </c>
      <c r="H24" s="71">
        <f t="shared" si="8"/>
        <v>35.828917922329687</v>
      </c>
    </row>
    <row r="25" spans="1:8" x14ac:dyDescent="0.25">
      <c r="B25" s="60"/>
    </row>
    <row r="26" spans="1:8" x14ac:dyDescent="0.25">
      <c r="A26" t="s">
        <v>100</v>
      </c>
      <c r="B26" s="60">
        <f t="shared" ref="B26:H26" si="9">B15-B24</f>
        <v>-1.4438750647514098E-3</v>
      </c>
      <c r="C26" s="60">
        <f t="shared" si="9"/>
        <v>9.5759751388868608E-5</v>
      </c>
      <c r="D26" s="60">
        <f t="shared" si="9"/>
        <v>2.9508129821316231E-3</v>
      </c>
      <c r="E26" s="60">
        <f t="shared" si="9"/>
        <v>-4.4270827998467155E-3</v>
      </c>
      <c r="F26" s="60">
        <f t="shared" si="9"/>
        <v>-2.1398868368933677E-3</v>
      </c>
      <c r="G26" s="60">
        <f t="shared" si="9"/>
        <v>-2.7507997761873071E-3</v>
      </c>
      <c r="H26" s="60">
        <f t="shared" si="9"/>
        <v>-3.4971863818284987E-3</v>
      </c>
    </row>
    <row r="27" spans="1:8" x14ac:dyDescent="0.25">
      <c r="A27" s="1" t="s">
        <v>94</v>
      </c>
      <c r="B27" s="16">
        <f t="shared" ref="B27:H27" si="10">(B9+B12+B13+B10+B11)/(B7+B8)</f>
        <v>1.4709280998836622</v>
      </c>
      <c r="C27" s="16">
        <f t="shared" si="10"/>
        <v>1.3335150767481607</v>
      </c>
      <c r="D27" s="16">
        <f t="shared" si="10"/>
        <v>1.0656158704253793</v>
      </c>
      <c r="E27" s="16">
        <f t="shared" si="10"/>
        <v>0.79397813204195355</v>
      </c>
      <c r="F27" s="16">
        <f t="shared" si="10"/>
        <v>0.56589485433112263</v>
      </c>
      <c r="G27" s="16">
        <f t="shared" si="10"/>
        <v>0.38602144049996961</v>
      </c>
      <c r="H27" s="16">
        <f t="shared" si="10"/>
        <v>0.23407226881113022</v>
      </c>
    </row>
    <row r="28" spans="1:8" x14ac:dyDescent="0.25">
      <c r="A28" s="1" t="s">
        <v>95</v>
      </c>
      <c r="B28" s="16">
        <f>(B18+B19+B20+B23)/(B12+B13+B10+B11)</f>
        <v>1.2251893820789355</v>
      </c>
      <c r="C28" s="16">
        <f t="shared" ref="C28:H28" si="11">(C18+C19+C20+C23)/(C12+C13+C10+C11)</f>
        <v>1.5471026038854048</v>
      </c>
      <c r="D28" s="16">
        <f t="shared" si="11"/>
        <v>1.8360829051827048</v>
      </c>
      <c r="E28" s="16">
        <f t="shared" si="11"/>
        <v>2.0966383391603891</v>
      </c>
      <c r="F28" s="16">
        <f t="shared" si="11"/>
        <v>2.3485215964622927</v>
      </c>
      <c r="G28" s="16">
        <f t="shared" si="11"/>
        <v>2.4804686162343841</v>
      </c>
      <c r="H28" s="16">
        <f t="shared" si="11"/>
        <v>3.929823378750871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Project Cost</vt:lpstr>
      <vt:lpstr>Project Details</vt:lpstr>
      <vt:lpstr>Assumptions</vt:lpstr>
      <vt:lpstr>Dep</vt:lpstr>
      <vt:lpstr>Bank Interest</vt:lpstr>
      <vt:lpstr>Furniture and Fixtures</vt:lpstr>
      <vt:lpstr>Plant &amp; Machinery</vt:lpstr>
      <vt:lpstr>WC GAP</vt:lpstr>
      <vt:lpstr>BS Proj.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2023-01-24T14:28:22Z</dcterms:modified>
</cp:coreProperties>
</file>